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DieseArbeitsmappe" defaultThemeVersion="124226"/>
  <mc:AlternateContent xmlns:mc="http://schemas.openxmlformats.org/markup-compatibility/2006">
    <mc:Choice Requires="x15">
      <x15ac:absPath xmlns:x15ac="http://schemas.microsoft.com/office/spreadsheetml/2010/11/ac" url="G:\Projektabteilung\Kalkulationshilfe\2023\"/>
    </mc:Choice>
  </mc:AlternateContent>
  <xr:revisionPtr revIDLastSave="0" documentId="13_ncr:1_{061A19AD-163F-42A3-B9FF-125F09ED028B}" xr6:coauthVersionLast="47" xr6:coauthVersionMax="47" xr10:uidLastSave="{00000000-0000-0000-0000-000000000000}"/>
  <bookViews>
    <workbookView xWindow="-120" yWindow="-120" windowWidth="29040" windowHeight="157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ILV" sheetId="46" r:id="rId6"/>
    <sheet name="GREEN FILMING Mehrkosten" sheetId="52" r:id="rId7"/>
    <sheet name="Stab_Ö_Lohnnebenkosten" sheetId="37" r:id="rId8"/>
    <sheet name="BERECHNUNGSSÄTZE" sheetId="4" state="hidden" r:id="rId9"/>
    <sheet name="CONTROLLING-DATA" sheetId="54" state="hidden" r:id="rId10"/>
    <sheet name="Darsteller" sheetId="26" r:id="rId11"/>
    <sheet name="Motivliste" sheetId="39" r:id="rId12"/>
    <sheet name="Stab_Cast_Ö_Reisekosten" sheetId="53" r:id="rId13"/>
    <sheet name="Zu 10 (Reise-, Transportkosten)" sheetId="9" r:id="rId14"/>
    <sheet name="Kollektivvertrag" sheetId="45" r:id="rId15"/>
    <sheet name="Richt- und Höchstsätze" sheetId="36" r:id="rId16"/>
    <sheet name="Tages- und Nächtigungsgelder" sheetId="51" r:id="rId17"/>
  </sheets>
  <definedNames>
    <definedName name="Absperrhilfen">Motivliste!$F$37</definedName>
    <definedName name="Baumaterial">Motivliste!$G$37</definedName>
    <definedName name="Bond">Zusammenfassung!$D$19</definedName>
    <definedName name="DB">BERECHNUNGSSÄTZE!$C$13</definedName>
    <definedName name="Diäten_Ausl">'Zu 10 (Reise-, Transportkosten)'!$H$25</definedName>
    <definedName name="Diäten_Ö">BERECHNUNGSSÄTZE!$F$18</definedName>
    <definedName name="Diäten_W">BERECHNUNGSSÄTZE!$F$17</definedName>
    <definedName name="DIT" localSheetId="12">Kollektivvertrag!#REF!</definedName>
    <definedName name="DIT">Kollektivvertrag!#REF!</definedName>
    <definedName name="Drehbuch_Richtsatz">BERECHNUNGSSÄTZE!$D$23</definedName>
    <definedName name="_xlnm.Print_Area" localSheetId="8">BERECHNUNGSSÄTZE!$A$1:$N$28</definedName>
    <definedName name="_xlnm.Print_Area" localSheetId="9">'CONTROLLING-DATA'!$A$1:$I$57</definedName>
    <definedName name="_xlnm.Print_Area" localSheetId="10">Darsteller!$A$1:$X$62</definedName>
    <definedName name="_xlnm.Print_Area" localSheetId="3">Finanzierungsplan!$A$1:$Q$74</definedName>
    <definedName name="_xlnm.Print_Area" localSheetId="6">'GREEN FILMING Mehrkosten'!$A$1:$F$67</definedName>
    <definedName name="_xlnm.Print_Area" localSheetId="5">ILV!$A$1:$E$50</definedName>
    <definedName name="_xlnm.Print_Area" localSheetId="4">'Kalkulation Herstellungskosten'!$A$1:$AG$447</definedName>
    <definedName name="_xlnm.Print_Area" localSheetId="14">Kollektivvertrag!$A$1:$L$67</definedName>
    <definedName name="_xlnm.Print_Area" localSheetId="11">Motivliste!$A$1:$K$37</definedName>
    <definedName name="_xlnm.Print_Area" localSheetId="15">'Richt- und Höchstsätze'!$A$1:$E$59</definedName>
    <definedName name="_xlnm.Print_Area" localSheetId="12">Stab_Cast_Ö_Reisekosten!$A$2:$T$193</definedName>
    <definedName name="_xlnm.Print_Area" localSheetId="7">Stab_Ö_Lohnnebenkosten!$A$2:$X$169</definedName>
    <definedName name="_xlnm.Print_Area" localSheetId="1">Stammblatt!$A$1:$F$47</definedName>
    <definedName name="_xlnm.Print_Area" localSheetId="0">'User-INFO'!$B$1:$B$40</definedName>
    <definedName name="_xlnm.Print_Area" localSheetId="13">'Zu 10 (Reise-, Transportkosten)'!$A$1:$M$58</definedName>
    <definedName name="_xlnm.Print_Area" localSheetId="2">Zusammenfassung!$A$1:$AC$35</definedName>
    <definedName name="_xlnm.Print_Titles" localSheetId="10">Darsteller!$1:$3</definedName>
    <definedName name="_xlnm.Print_Titles" localSheetId="4">'Kalkulation Herstellungskosten'!$2:$2</definedName>
    <definedName name="_xlnm.Print_Titles" localSheetId="12">Stab_Cast_Ö_Reisekosten!$1:$4</definedName>
    <definedName name="_xlnm.Print_Titles" localSheetId="7">Stab_Ö_Lohnnebenkosten!$1:$4</definedName>
    <definedName name="DZ">BERECHNUNGSSÄTZE!$C$14</definedName>
    <definedName name="E" localSheetId="12">#REF!</definedName>
    <definedName name="E">#REF!</definedName>
    <definedName name="Faktor" localSheetId="12">#REF!</definedName>
    <definedName name="Faktor">#REF!</definedName>
    <definedName name="FGK">BERECHNUNGSSÄTZE!$C$28</definedName>
    <definedName name="FIN">Zusammenfassung!$D$26</definedName>
    <definedName name="FIN_A">Zusammenfassung!$V$26</definedName>
    <definedName name="FIN_B">Zusammenfassung!$X$26</definedName>
    <definedName name="FIN_C">Zusammenfassung!$Z$26</definedName>
    <definedName name="FIN_ges">Zusammenfassung!$AC$26</definedName>
    <definedName name="FinKosten">Zusammenfassung!$D$20</definedName>
    <definedName name="GHSTK">Zusammenfassung!$D$22</definedName>
    <definedName name="GHSTK_A">Zusammenfassung!$V$22</definedName>
    <definedName name="GHSTK_B">Zusammenfassung!$X$22</definedName>
    <definedName name="GHSTK_C">Zusammenfassung!$Z$22</definedName>
    <definedName name="GHSTK_ges">Zusammenfassung!$AC$22</definedName>
    <definedName name="HerstL" localSheetId="12">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1">Motivliste!#REF!</definedName>
    <definedName name="Honorare" localSheetId="12">#REF!</definedName>
    <definedName name="Honorare">#REF!</definedName>
    <definedName name="HV">Motivliste!$D$37</definedName>
    <definedName name="km_Geld">BERECHNUNGSSÄTZE!$F$16</definedName>
    <definedName name="KommSt">BERECHNUNGSSÄTZE!$C$15</definedName>
    <definedName name="Kostumbild" localSheetId="12">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Zusammenfassung!$AC$17</definedName>
    <definedName name="NHKSTK_B" localSheetId="12">Zusammenfassung!#REF!</definedName>
    <definedName name="NHKSTK_B">Zusammenfassung!#REF!</definedName>
    <definedName name="NHSTK" localSheetId="12">Zusammenfassung!#REF!</definedName>
    <definedName name="NHSTK">Zusammenfassung!#REF!</definedName>
    <definedName name="NHSTK_A" localSheetId="12">Zusammenfassung!#REF!</definedName>
    <definedName name="NHSTK_A">Zusammenfassung!#REF!</definedName>
    <definedName name="NHSTK_C" localSheetId="12">Zusammenfassung!#REF!</definedName>
    <definedName name="NHSTK_C">Zusammenfassung!#REF!</definedName>
    <definedName name="NHSTK_ges" localSheetId="12">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U_Bahn">BERECHNUNGSSÄTZE!$C$18</definedName>
    <definedName name="ÜR">Zusammenfassung!$C$21</definedName>
    <definedName name="ZS_1_Vorkosten">'Kalkulation Herstellungskosten'!$G$8</definedName>
    <definedName name="ZS_10_Reisekosten">'Kalkulation Herstellungskosten'!$G$418</definedName>
    <definedName name="ZS_11_Allgemeine_Kosten">'Kalkulation Herstellungskosten'!$G$435</definedName>
    <definedName name="ZS_12_Kostenmindernde_Erträge">'Kalkulation Herstellungskosten'!$G$445</definedName>
    <definedName name="ZS_2_Nutzungsrechte">'Kalkulation Herstellungskosten'!$G$24</definedName>
    <definedName name="ZS_3_Gagen">'Kalkulation Herstellungskosten'!$G$287</definedName>
    <definedName name="ZS_4_Bild_Ton">'Kalkulation Herstellungskosten'!$G$310</definedName>
    <definedName name="ZS_5_Atelier_Ausleuchtung_Außenaufnahmen">'Kalkulation Herstellungskosten'!$G$332</definedName>
    <definedName name="ZS_6_Austattung">'Kalkulation Herstellungskosten'!$G$348</definedName>
    <definedName name="ZS_7_Schnitt_Sync_Mischung">'Kalkulation Herstellungskosten'!$G$367</definedName>
    <definedName name="ZS_8_Bild_Ton_Bearbeitung">'Kalkulation Herstellungskosten'!$G$397</definedName>
    <definedName name="ZS_9_Versicherungen">'Kalkulation Herstellungskosten'!$G$410</definedName>
  </definedNames>
  <calcPr calcId="191029" iterate="1" iterateCount="101" iterateDelta="0.1"/>
  <fileRecoveryPr autoRecover="0"/>
</workbook>
</file>

<file path=xl/calcChain.xml><?xml version="1.0" encoding="utf-8"?>
<calcChain xmlns="http://schemas.openxmlformats.org/spreadsheetml/2006/main">
  <c r="F25" i="45" l="1"/>
  <c r="G2" i="40"/>
  <c r="X26" i="2"/>
  <c r="AC20" i="2"/>
  <c r="AC19" i="2"/>
  <c r="AC6" i="2"/>
  <c r="AC8" i="2"/>
  <c r="AC9" i="2"/>
  <c r="AC10" i="2"/>
  <c r="AC11" i="2"/>
  <c r="AC12" i="2"/>
  <c r="AC13" i="2"/>
  <c r="AC14" i="2"/>
  <c r="AC15" i="2"/>
  <c r="AA26" i="2"/>
  <c r="Y26" i="2"/>
  <c r="AA22" i="2"/>
  <c r="Y22" i="2"/>
  <c r="W22" i="2"/>
  <c r="W26" i="2" s="1"/>
  <c r="AA17" i="2"/>
  <c r="Y17" i="2"/>
  <c r="W17" i="2"/>
  <c r="AD23" i="2"/>
  <c r="AD21" i="2"/>
  <c r="AD20" i="2"/>
  <c r="AD19" i="2"/>
  <c r="AD18" i="2"/>
  <c r="AD6" i="2"/>
  <c r="AD7" i="2"/>
  <c r="AD8" i="2"/>
  <c r="AD9" i="2"/>
  <c r="AD10" i="2"/>
  <c r="AD11" i="2"/>
  <c r="AD12" i="2"/>
  <c r="AD13" i="2"/>
  <c r="AD14" i="2"/>
  <c r="AD15" i="2"/>
  <c r="AC23" i="2"/>
  <c r="Q34" i="10"/>
  <c r="Q45" i="10"/>
  <c r="P64" i="10"/>
  <c r="P63" i="10"/>
  <c r="P62" i="10"/>
  <c r="P61" i="10"/>
  <c r="P60" i="10"/>
  <c r="P59" i="10"/>
  <c r="P58" i="10"/>
  <c r="P57" i="10"/>
  <c r="P53" i="10"/>
  <c r="P52" i="10"/>
  <c r="P51" i="10"/>
  <c r="P50" i="10"/>
  <c r="P49" i="10"/>
  <c r="P48" i="10"/>
  <c r="P47" i="10"/>
  <c r="P46" i="10"/>
  <c r="P45" i="10" s="1"/>
  <c r="O56" i="10"/>
  <c r="O45" i="10"/>
  <c r="P34" i="10"/>
  <c r="O34" i="10"/>
  <c r="P42" i="10"/>
  <c r="P41" i="10"/>
  <c r="P40" i="10"/>
  <c r="P39" i="10"/>
  <c r="P38" i="10"/>
  <c r="P37" i="10"/>
  <c r="P36" i="10"/>
  <c r="P35" i="10"/>
  <c r="P30" i="10"/>
  <c r="P31" i="10"/>
  <c r="P29" i="10"/>
  <c r="O22" i="10"/>
  <c r="P22" i="10" s="1"/>
  <c r="O25" i="10"/>
  <c r="P25" i="10" s="1"/>
  <c r="O12" i="10"/>
  <c r="P12" i="10" s="1"/>
  <c r="O5" i="10"/>
  <c r="E20" i="45"/>
  <c r="X445" i="40"/>
  <c r="AG327" i="40"/>
  <c r="AF8" i="40"/>
  <c r="AE8" i="40"/>
  <c r="AD8" i="40"/>
  <c r="AE285" i="40"/>
  <c r="AF285" i="40"/>
  <c r="AD285" i="40"/>
  <c r="P285" i="40"/>
  <c r="Q285" i="40"/>
  <c r="R285" i="40"/>
  <c r="O285" i="40"/>
  <c r="Q8" i="40"/>
  <c r="R8" i="40"/>
  <c r="AM51" i="40"/>
  <c r="AM50" i="40"/>
  <c r="G12" i="45"/>
  <c r="F23" i="45"/>
  <c r="P56" i="10" l="1"/>
  <c r="AM29" i="40"/>
  <c r="I64" i="10"/>
  <c r="I63" i="10"/>
  <c r="K62" i="10"/>
  <c r="I62" i="10"/>
  <c r="I61" i="10"/>
  <c r="I60" i="10"/>
  <c r="I59" i="10"/>
  <c r="K58" i="10"/>
  <c r="I57" i="10"/>
  <c r="I53" i="10"/>
  <c r="I52" i="10"/>
  <c r="K51" i="10"/>
  <c r="I51" i="10" s="1"/>
  <c r="I50" i="10"/>
  <c r="I49" i="10"/>
  <c r="I48" i="10"/>
  <c r="K47" i="10"/>
  <c r="I46" i="10"/>
  <c r="I35" i="10"/>
  <c r="D28" i="2"/>
  <c r="O37" i="2"/>
  <c r="N36" i="2"/>
  <c r="P36" i="2" s="1"/>
  <c r="Q36" i="2" s="1"/>
  <c r="N35" i="2"/>
  <c r="P35" i="2" s="1"/>
  <c r="Q35" i="2" s="1"/>
  <c r="N33" i="2"/>
  <c r="P33" i="2" s="1"/>
  <c r="Q33" i="2" s="1"/>
  <c r="N32" i="2"/>
  <c r="P32" i="2" s="1"/>
  <c r="Q32" i="2" s="1"/>
  <c r="N30" i="2"/>
  <c r="P30" i="2" s="1"/>
  <c r="Q30" i="2" s="1"/>
  <c r="C21" i="46" l="1"/>
  <c r="E59" i="52"/>
  <c r="E60" i="52"/>
  <c r="E61" i="52"/>
  <c r="A56" i="10" l="1"/>
  <c r="A45" i="10"/>
  <c r="A34" i="10"/>
  <c r="A4" i="10"/>
  <c r="I22" i="10" l="1"/>
  <c r="C24" i="10"/>
  <c r="A24" i="10"/>
  <c r="A23" i="10"/>
  <c r="A22" i="10"/>
  <c r="D65" i="10"/>
  <c r="B26" i="2"/>
  <c r="B25" i="2"/>
  <c r="B24" i="2"/>
  <c r="B23" i="2"/>
  <c r="I31" i="10"/>
  <c r="I30" i="10"/>
  <c r="I25" i="10"/>
  <c r="C27" i="10"/>
  <c r="A30" i="10"/>
  <c r="C20" i="10"/>
  <c r="AG5" i="40"/>
  <c r="V5" i="40"/>
  <c r="W5" i="40"/>
  <c r="B5" i="40"/>
  <c r="C37" i="54" l="1"/>
  <c r="E37" i="54" s="1"/>
  <c r="I15" i="54"/>
  <c r="D17" i="54"/>
  <c r="E17" i="54"/>
  <c r="F17" i="54"/>
  <c r="D18" i="54"/>
  <c r="E18" i="54"/>
  <c r="F18" i="54"/>
  <c r="E16" i="54"/>
  <c r="F16" i="54"/>
  <c r="A21" i="10"/>
  <c r="A18" i="10"/>
  <c r="A28" i="10"/>
  <c r="A27" i="10"/>
  <c r="A26" i="10"/>
  <c r="A25" i="10"/>
  <c r="C17" i="54"/>
  <c r="C18" i="54"/>
  <c r="F2" i="54"/>
  <c r="E2" i="54"/>
  <c r="D2" i="54"/>
  <c r="C2" i="54"/>
  <c r="A1" i="54"/>
  <c r="AA8" i="40" l="1"/>
  <c r="Z8" i="40"/>
  <c r="A208" i="53" l="1"/>
  <c r="B208" i="53"/>
  <c r="A209" i="53"/>
  <c r="B209" i="53"/>
  <c r="A210" i="53"/>
  <c r="B210" i="53"/>
  <c r="A211" i="53"/>
  <c r="B211" i="53"/>
  <c r="A212" i="53"/>
  <c r="B212" i="53"/>
  <c r="A213" i="53"/>
  <c r="B213" i="53"/>
  <c r="A214" i="53"/>
  <c r="B214" i="53"/>
  <c r="A215" i="53"/>
  <c r="B215" i="53"/>
  <c r="A216" i="53"/>
  <c r="B216" i="53"/>
  <c r="A217" i="53"/>
  <c r="B217" i="53"/>
  <c r="A218" i="53"/>
  <c r="B218" i="53"/>
  <c r="A219" i="53"/>
  <c r="B219" i="53"/>
  <c r="A220" i="53"/>
  <c r="B220" i="53"/>
  <c r="A221" i="53"/>
  <c r="B221" i="53"/>
  <c r="A222" i="53"/>
  <c r="B222" i="53"/>
  <c r="A223" i="53"/>
  <c r="B223" i="53"/>
  <c r="A224" i="53"/>
  <c r="B224" i="53"/>
  <c r="A225" i="53"/>
  <c r="B225" i="53"/>
  <c r="A226" i="53"/>
  <c r="B226" i="53"/>
  <c r="A227" i="53"/>
  <c r="B227" i="53"/>
  <c r="A228" i="53"/>
  <c r="B228" i="53"/>
  <c r="A229" i="53"/>
  <c r="B229" i="53"/>
  <c r="A230" i="53"/>
  <c r="B230" i="53"/>
  <c r="A231" i="53"/>
  <c r="B231" i="53"/>
  <c r="A232" i="53"/>
  <c r="B232" i="53"/>
  <c r="A233" i="53"/>
  <c r="B233" i="53"/>
  <c r="A234" i="53"/>
  <c r="B234" i="53"/>
  <c r="A235" i="53"/>
  <c r="B235" i="53"/>
  <c r="A236" i="53"/>
  <c r="B236" i="53"/>
  <c r="A237" i="53"/>
  <c r="B237" i="53"/>
  <c r="A238" i="53"/>
  <c r="B238" i="53"/>
  <c r="A239" i="53"/>
  <c r="B239" i="53"/>
  <c r="A240" i="53"/>
  <c r="B240" i="53"/>
  <c r="A241" i="53"/>
  <c r="B241" i="53"/>
  <c r="A242" i="53"/>
  <c r="B242" i="53"/>
  <c r="A243" i="53"/>
  <c r="B243" i="53"/>
  <c r="A244" i="53"/>
  <c r="B244" i="53"/>
  <c r="A245" i="53"/>
  <c r="B245" i="53"/>
  <c r="A246" i="53"/>
  <c r="F30" i="26"/>
  <c r="G30" i="26"/>
  <c r="H30" i="26"/>
  <c r="I30" i="26"/>
  <c r="J30" i="26"/>
  <c r="K30" i="26"/>
  <c r="L30" i="26"/>
  <c r="M30" i="26"/>
  <c r="F31" i="26"/>
  <c r="G31" i="26"/>
  <c r="H31" i="26"/>
  <c r="I31" i="26"/>
  <c r="J31" i="26"/>
  <c r="K31" i="26"/>
  <c r="L31" i="26"/>
  <c r="M31" i="26"/>
  <c r="F32" i="26"/>
  <c r="G32" i="26"/>
  <c r="H32" i="26"/>
  <c r="I32" i="26"/>
  <c r="J32" i="26"/>
  <c r="K32" i="26"/>
  <c r="L32" i="26"/>
  <c r="M32" i="26"/>
  <c r="F33" i="26"/>
  <c r="G33" i="26"/>
  <c r="H33" i="26"/>
  <c r="I33" i="26"/>
  <c r="J33" i="26"/>
  <c r="K33" i="26"/>
  <c r="L33" i="26"/>
  <c r="M33" i="26"/>
  <c r="F34" i="26"/>
  <c r="G34" i="26"/>
  <c r="H34" i="26"/>
  <c r="I34" i="26"/>
  <c r="J34" i="26"/>
  <c r="K34" i="26"/>
  <c r="L34" i="26"/>
  <c r="M34" i="26"/>
  <c r="F35" i="26"/>
  <c r="G35" i="26"/>
  <c r="H35" i="26"/>
  <c r="I35" i="26"/>
  <c r="J35" i="26"/>
  <c r="K35" i="26"/>
  <c r="L35" i="26"/>
  <c r="M35" i="26"/>
  <c r="F36" i="26"/>
  <c r="G36" i="26"/>
  <c r="H36" i="26"/>
  <c r="I36" i="26"/>
  <c r="J36" i="26"/>
  <c r="K36" i="26"/>
  <c r="L36" i="26"/>
  <c r="M36" i="26"/>
  <c r="F37" i="26"/>
  <c r="G37" i="26"/>
  <c r="H37" i="26"/>
  <c r="I37" i="26"/>
  <c r="J37" i="26"/>
  <c r="K37" i="26"/>
  <c r="L37" i="26"/>
  <c r="M37" i="26"/>
  <c r="F38" i="26"/>
  <c r="G38" i="26"/>
  <c r="H38" i="26"/>
  <c r="I38" i="26"/>
  <c r="J38" i="26"/>
  <c r="K38" i="26"/>
  <c r="L38" i="26"/>
  <c r="M38" i="26"/>
  <c r="F39" i="26"/>
  <c r="G39" i="26"/>
  <c r="H39" i="26"/>
  <c r="I39" i="26"/>
  <c r="J39" i="26"/>
  <c r="K39" i="26"/>
  <c r="L39" i="26"/>
  <c r="M39" i="26"/>
  <c r="F40" i="26"/>
  <c r="G40" i="26"/>
  <c r="H40" i="26"/>
  <c r="I40" i="26"/>
  <c r="J40" i="26"/>
  <c r="K40" i="26"/>
  <c r="L40" i="26"/>
  <c r="M40" i="26"/>
  <c r="F41" i="26"/>
  <c r="G41" i="26"/>
  <c r="H41" i="26"/>
  <c r="I41" i="26"/>
  <c r="J41" i="26"/>
  <c r="K41" i="26"/>
  <c r="L41" i="26"/>
  <c r="M41" i="26"/>
  <c r="F42" i="26"/>
  <c r="G42" i="26"/>
  <c r="H42" i="26"/>
  <c r="I42" i="26"/>
  <c r="J42" i="26"/>
  <c r="K42" i="26"/>
  <c r="L42" i="26"/>
  <c r="M42" i="26"/>
  <c r="F43" i="26"/>
  <c r="G43" i="26"/>
  <c r="H43" i="26"/>
  <c r="I43" i="26"/>
  <c r="J43" i="26"/>
  <c r="K43" i="26"/>
  <c r="L43" i="26"/>
  <c r="M43" i="26"/>
  <c r="F44" i="26"/>
  <c r="G44" i="26"/>
  <c r="H44" i="26"/>
  <c r="I44" i="26"/>
  <c r="J44" i="26"/>
  <c r="K44" i="26"/>
  <c r="L44" i="26"/>
  <c r="M44" i="26"/>
  <c r="F45" i="26"/>
  <c r="G45" i="26"/>
  <c r="H45" i="26"/>
  <c r="I45" i="26"/>
  <c r="J45" i="26"/>
  <c r="K45" i="26"/>
  <c r="L45" i="26"/>
  <c r="M45" i="26"/>
  <c r="F46" i="26"/>
  <c r="G46" i="26"/>
  <c r="H46" i="26"/>
  <c r="I46" i="26"/>
  <c r="J46" i="26"/>
  <c r="K46" i="26"/>
  <c r="L46" i="26"/>
  <c r="M46" i="26"/>
  <c r="F47" i="26"/>
  <c r="G47" i="26"/>
  <c r="H47" i="26"/>
  <c r="I47" i="26"/>
  <c r="J47" i="26"/>
  <c r="K47" i="26"/>
  <c r="L47" i="26"/>
  <c r="M47" i="26"/>
  <c r="F48" i="26"/>
  <c r="G48" i="26"/>
  <c r="H48" i="26"/>
  <c r="I48" i="26"/>
  <c r="J48" i="26"/>
  <c r="K48" i="26"/>
  <c r="L48" i="26"/>
  <c r="M48" i="26"/>
  <c r="F49" i="26"/>
  <c r="G49" i="26"/>
  <c r="H49" i="26"/>
  <c r="I49" i="26"/>
  <c r="J49" i="26"/>
  <c r="K49" i="26"/>
  <c r="L49" i="26"/>
  <c r="M49" i="26"/>
  <c r="B181" i="53"/>
  <c r="B182" i="53"/>
  <c r="B183" i="53"/>
  <c r="B184" i="53"/>
  <c r="B185" i="53"/>
  <c r="B186" i="53"/>
  <c r="B187" i="53"/>
  <c r="B188" i="53"/>
  <c r="B189" i="53"/>
  <c r="B190" i="53"/>
  <c r="B191" i="53"/>
  <c r="A181" i="53"/>
  <c r="A182" i="53"/>
  <c r="A183" i="53"/>
  <c r="A184" i="53"/>
  <c r="A185" i="53"/>
  <c r="A186" i="53"/>
  <c r="A187" i="53"/>
  <c r="A188" i="53"/>
  <c r="A189" i="53"/>
  <c r="A190" i="53"/>
  <c r="A191" i="53"/>
  <c r="A165" i="53"/>
  <c r="B165" i="53"/>
  <c r="A166" i="53"/>
  <c r="B166" i="53"/>
  <c r="A167" i="53"/>
  <c r="B167" i="53"/>
  <c r="A168" i="53"/>
  <c r="B168" i="53"/>
  <c r="A169" i="53"/>
  <c r="B169" i="53"/>
  <c r="A170" i="53"/>
  <c r="B170" i="53"/>
  <c r="A171" i="53"/>
  <c r="B171" i="53"/>
  <c r="A172" i="53"/>
  <c r="B172" i="53"/>
  <c r="A173" i="53"/>
  <c r="B173" i="53"/>
  <c r="A174" i="53"/>
  <c r="B174" i="53"/>
  <c r="A175" i="53"/>
  <c r="B175" i="53"/>
  <c r="A176" i="53"/>
  <c r="B176" i="53"/>
  <c r="A177" i="53"/>
  <c r="B177" i="53"/>
  <c r="A178" i="53"/>
  <c r="B178" i="53"/>
  <c r="A179" i="53"/>
  <c r="B179" i="53"/>
  <c r="A180" i="53"/>
  <c r="B180" i="53"/>
  <c r="B143" i="53"/>
  <c r="B144" i="53"/>
  <c r="B145" i="53"/>
  <c r="B146" i="53"/>
  <c r="B147" i="53"/>
  <c r="B148" i="53"/>
  <c r="B149" i="53"/>
  <c r="B150" i="53"/>
  <c r="B151" i="53"/>
  <c r="B152" i="53"/>
  <c r="B153" i="53"/>
  <c r="B154" i="53"/>
  <c r="B155" i="53"/>
  <c r="B156" i="53"/>
  <c r="B157" i="53"/>
  <c r="B158" i="53"/>
  <c r="B159" i="53"/>
  <c r="B160" i="53"/>
  <c r="B161" i="53"/>
  <c r="B162" i="53"/>
  <c r="B163" i="53"/>
  <c r="B164" i="53"/>
  <c r="B142" i="53"/>
  <c r="B141" i="53"/>
  <c r="B133" i="53"/>
  <c r="B134" i="53"/>
  <c r="B135" i="53"/>
  <c r="B136" i="53"/>
  <c r="B137" i="53"/>
  <c r="B138" i="53"/>
  <c r="B2" i="53"/>
  <c r="AM34" i="40"/>
  <c r="AM33" i="40"/>
  <c r="AM32" i="40"/>
  <c r="AM31" i="40"/>
  <c r="AM30" i="40"/>
  <c r="H127" i="40"/>
  <c r="H126" i="40"/>
  <c r="H125" i="40"/>
  <c r="H124" i="40"/>
  <c r="H123" i="40"/>
  <c r="H122" i="40"/>
  <c r="H121" i="40"/>
  <c r="H120" i="40"/>
  <c r="H119" i="40"/>
  <c r="H118" i="40"/>
  <c r="H117" i="40"/>
  <c r="H116" i="40"/>
  <c r="H115" i="40"/>
  <c r="H114" i="40"/>
  <c r="H113" i="40"/>
  <c r="H112" i="40"/>
  <c r="H103" i="40"/>
  <c r="H102" i="40"/>
  <c r="H97" i="40"/>
  <c r="H96" i="40"/>
  <c r="H93" i="40"/>
  <c r="H92" i="40"/>
  <c r="H91" i="40"/>
  <c r="H90" i="40"/>
  <c r="H89" i="40"/>
  <c r="H88" i="40"/>
  <c r="H87" i="40"/>
  <c r="H86" i="40"/>
  <c r="H85" i="40"/>
  <c r="H84" i="40"/>
  <c r="H83" i="40"/>
  <c r="H82" i="40"/>
  <c r="H81" i="40"/>
  <c r="H80" i="40"/>
  <c r="H77" i="40"/>
  <c r="H76" i="40"/>
  <c r="H73" i="40"/>
  <c r="H72" i="40"/>
  <c r="H69" i="40"/>
  <c r="H68" i="40"/>
  <c r="H67" i="40"/>
  <c r="H66" i="40"/>
  <c r="H63" i="40"/>
  <c r="H62" i="40"/>
  <c r="H61" i="40"/>
  <c r="H60" i="40"/>
  <c r="H59" i="40"/>
  <c r="H58" i="40"/>
  <c r="H55" i="40"/>
  <c r="H54" i="40"/>
  <c r="H49" i="40"/>
  <c r="H48" i="40"/>
  <c r="H42" i="40"/>
  <c r="H41" i="40"/>
  <c r="H40" i="40"/>
  <c r="H39" i="40"/>
  <c r="H38" i="40"/>
  <c r="H37" i="40"/>
  <c r="H36" i="40"/>
  <c r="H35" i="40"/>
  <c r="S5" i="2" l="1"/>
  <c r="R5" i="2"/>
  <c r="J5" i="2"/>
  <c r="I5" i="2"/>
  <c r="V379" i="40"/>
  <c r="V258" i="40"/>
  <c r="W258" i="40" s="1"/>
  <c r="V259" i="40"/>
  <c r="W259" i="40" s="1"/>
  <c r="V260" i="40"/>
  <c r="W260" i="40" s="1"/>
  <c r="V261" i="40"/>
  <c r="W261" i="40" s="1"/>
  <c r="V262" i="40"/>
  <c r="W262" i="40" s="1"/>
  <c r="V263" i="40"/>
  <c r="W263" i="40" s="1"/>
  <c r="V264" i="40"/>
  <c r="W264" i="40" s="1"/>
  <c r="V265" i="40"/>
  <c r="W265" i="40" s="1"/>
  <c r="V266" i="40"/>
  <c r="W266" i="40" s="1"/>
  <c r="V267" i="40"/>
  <c r="W267" i="40" s="1"/>
  <c r="V268" i="40"/>
  <c r="W268" i="40" s="1"/>
  <c r="V269" i="40"/>
  <c r="W269" i="40"/>
  <c r="V270" i="40"/>
  <c r="W270" i="40" s="1"/>
  <c r="V271" i="40"/>
  <c r="W271" i="40" s="1"/>
  <c r="V272" i="40"/>
  <c r="W272" i="40" s="1"/>
  <c r="V273" i="40"/>
  <c r="W273" i="40" s="1"/>
  <c r="V274" i="40"/>
  <c r="W274" i="40" s="1"/>
  <c r="V275" i="40"/>
  <c r="W275" i="40" s="1"/>
  <c r="V276" i="40"/>
  <c r="W276" i="40" s="1"/>
  <c r="V277" i="40"/>
  <c r="W277" i="40" s="1"/>
  <c r="V278" i="40"/>
  <c r="W278" i="40" s="1"/>
  <c r="V279" i="40"/>
  <c r="W279" i="40" s="1"/>
  <c r="V280" i="40"/>
  <c r="W280" i="40" s="1"/>
  <c r="V281" i="40"/>
  <c r="W281" i="40" s="1"/>
  <c r="V282" i="40"/>
  <c r="W282" i="40" s="1"/>
  <c r="E29" i="9"/>
  <c r="H29" i="9"/>
  <c r="B29" i="9"/>
  <c r="E253" i="53"/>
  <c r="H253" i="53"/>
  <c r="G29" i="9" s="1"/>
  <c r="K253" i="53"/>
  <c r="L253" i="53"/>
  <c r="M253" i="53"/>
  <c r="N253" i="53"/>
  <c r="O253" i="53"/>
  <c r="P253" i="53"/>
  <c r="Q253" i="53"/>
  <c r="C34" i="9" s="1"/>
  <c r="R253" i="53"/>
  <c r="D253" i="53"/>
  <c r="T251" i="53"/>
  <c r="J251" i="53"/>
  <c r="G251" i="53"/>
  <c r="B251" i="53"/>
  <c r="A251" i="53"/>
  <c r="T250" i="53"/>
  <c r="J250" i="53"/>
  <c r="G250" i="53"/>
  <c r="B250" i="53"/>
  <c r="A250" i="53"/>
  <c r="A1" i="39"/>
  <c r="R248" i="53"/>
  <c r="Q248" i="53"/>
  <c r="C33" i="9" s="1"/>
  <c r="P248" i="53"/>
  <c r="H28" i="9" s="1"/>
  <c r="O248" i="53"/>
  <c r="G28" i="9" s="1"/>
  <c r="N248" i="53"/>
  <c r="F28" i="9" s="1"/>
  <c r="M248" i="53"/>
  <c r="E28" i="9" s="1"/>
  <c r="L248" i="53"/>
  <c r="K248" i="53"/>
  <c r="H248" i="53"/>
  <c r="E248" i="53"/>
  <c r="D248" i="53"/>
  <c r="C8" i="9" s="1"/>
  <c r="G246" i="53"/>
  <c r="J246" i="53"/>
  <c r="T246" i="53"/>
  <c r="G198" i="53"/>
  <c r="J198" i="53"/>
  <c r="T198" i="53"/>
  <c r="G199" i="53"/>
  <c r="J199" i="53"/>
  <c r="T199" i="53"/>
  <c r="G200" i="53"/>
  <c r="J200" i="53"/>
  <c r="T200" i="53"/>
  <c r="G201" i="53"/>
  <c r="J201" i="53"/>
  <c r="T201" i="53"/>
  <c r="G202" i="53"/>
  <c r="J202" i="53"/>
  <c r="T202" i="53"/>
  <c r="G203" i="53"/>
  <c r="J203" i="53"/>
  <c r="T203" i="53"/>
  <c r="G204" i="53"/>
  <c r="J204" i="53"/>
  <c r="T204" i="53"/>
  <c r="G205" i="53"/>
  <c r="J205" i="53"/>
  <c r="T205" i="53"/>
  <c r="G206" i="53"/>
  <c r="J206" i="53"/>
  <c r="T206" i="53"/>
  <c r="G207" i="53"/>
  <c r="J207" i="53"/>
  <c r="T207" i="53"/>
  <c r="G228" i="53"/>
  <c r="J228" i="53"/>
  <c r="T228" i="53"/>
  <c r="G229" i="53"/>
  <c r="J229" i="53"/>
  <c r="T229" i="53"/>
  <c r="G230" i="53"/>
  <c r="J230" i="53"/>
  <c r="T230" i="53"/>
  <c r="G231" i="53"/>
  <c r="J231" i="53"/>
  <c r="T231" i="53"/>
  <c r="G232" i="53"/>
  <c r="J232" i="53"/>
  <c r="T232" i="53"/>
  <c r="G233" i="53"/>
  <c r="J233" i="53"/>
  <c r="T233" i="53"/>
  <c r="G234" i="53"/>
  <c r="J234" i="53"/>
  <c r="T234" i="53"/>
  <c r="G235" i="53"/>
  <c r="J235" i="53"/>
  <c r="T235" i="53"/>
  <c r="G236" i="53"/>
  <c r="J236" i="53"/>
  <c r="T236" i="53"/>
  <c r="G237" i="53"/>
  <c r="J237" i="53"/>
  <c r="T237" i="53"/>
  <c r="G238" i="53"/>
  <c r="J238" i="53"/>
  <c r="T238" i="53"/>
  <c r="G239" i="53"/>
  <c r="J239" i="53"/>
  <c r="T239" i="53"/>
  <c r="G240" i="53"/>
  <c r="J240" i="53"/>
  <c r="T240" i="53"/>
  <c r="G241" i="53"/>
  <c r="J241" i="53"/>
  <c r="T241" i="53"/>
  <c r="G242" i="53"/>
  <c r="J242" i="53"/>
  <c r="T242" i="53"/>
  <c r="G243" i="53"/>
  <c r="J243" i="53"/>
  <c r="T243" i="53"/>
  <c r="G244" i="53"/>
  <c r="J244" i="53"/>
  <c r="T244" i="53"/>
  <c r="G245" i="53"/>
  <c r="J245" i="53"/>
  <c r="T245" i="53"/>
  <c r="T197" i="53"/>
  <c r="J197" i="53"/>
  <c r="G197" i="53"/>
  <c r="A198" i="53"/>
  <c r="A199" i="53"/>
  <c r="A200" i="53"/>
  <c r="A201" i="53"/>
  <c r="A202" i="53"/>
  <c r="A203" i="53"/>
  <c r="A204" i="53"/>
  <c r="A205" i="53"/>
  <c r="A206" i="53"/>
  <c r="A207" i="53"/>
  <c r="A197" i="53"/>
  <c r="G162" i="53"/>
  <c r="J162" i="53"/>
  <c r="T162" i="53"/>
  <c r="G163" i="53"/>
  <c r="J163" i="53"/>
  <c r="T163" i="53"/>
  <c r="G164" i="53"/>
  <c r="J164" i="53"/>
  <c r="T164" i="53"/>
  <c r="A122" i="53"/>
  <c r="G122" i="53"/>
  <c r="J122" i="53"/>
  <c r="T122" i="53"/>
  <c r="A123" i="53"/>
  <c r="G123" i="53"/>
  <c r="J123" i="53"/>
  <c r="T123" i="53"/>
  <c r="A124" i="53"/>
  <c r="G124" i="53"/>
  <c r="J124" i="53"/>
  <c r="T124" i="53"/>
  <c r="A125" i="53"/>
  <c r="G125" i="53"/>
  <c r="J125" i="53"/>
  <c r="T125" i="53"/>
  <c r="A126" i="53"/>
  <c r="G126" i="53"/>
  <c r="J126" i="53"/>
  <c r="T126" i="53"/>
  <c r="A127" i="53"/>
  <c r="G127" i="53"/>
  <c r="J127" i="53"/>
  <c r="T127" i="53"/>
  <c r="A128" i="53"/>
  <c r="G128" i="53"/>
  <c r="J128" i="53"/>
  <c r="T128" i="53"/>
  <c r="A129" i="53"/>
  <c r="G129" i="53"/>
  <c r="J129" i="53"/>
  <c r="T129" i="53"/>
  <c r="A80" i="53"/>
  <c r="G80" i="53"/>
  <c r="J80" i="53"/>
  <c r="T80" i="53"/>
  <c r="A81" i="53"/>
  <c r="G81" i="53"/>
  <c r="J81" i="53"/>
  <c r="T81" i="53"/>
  <c r="A82" i="53"/>
  <c r="G82" i="53"/>
  <c r="J82" i="53"/>
  <c r="T82" i="53"/>
  <c r="A83" i="53"/>
  <c r="G83" i="53"/>
  <c r="J83" i="53"/>
  <c r="T83" i="53"/>
  <c r="A84" i="53"/>
  <c r="G84" i="53"/>
  <c r="J84" i="53"/>
  <c r="T84" i="53"/>
  <c r="A85" i="53"/>
  <c r="G85" i="53"/>
  <c r="J85" i="53"/>
  <c r="T85" i="53"/>
  <c r="A86" i="53"/>
  <c r="G86" i="53"/>
  <c r="J86" i="53"/>
  <c r="T86" i="53"/>
  <c r="A87" i="53"/>
  <c r="G87" i="53"/>
  <c r="J87" i="53"/>
  <c r="T87" i="53"/>
  <c r="A88" i="53"/>
  <c r="G88" i="53"/>
  <c r="J88" i="53"/>
  <c r="T88" i="53"/>
  <c r="A89" i="53"/>
  <c r="G89" i="53"/>
  <c r="J89" i="53"/>
  <c r="T89" i="53"/>
  <c r="A90" i="53"/>
  <c r="G90" i="53"/>
  <c r="J90" i="53"/>
  <c r="T90" i="53"/>
  <c r="A91" i="53"/>
  <c r="G91" i="53"/>
  <c r="J91" i="53"/>
  <c r="T91" i="53"/>
  <c r="A92" i="53"/>
  <c r="G92" i="53"/>
  <c r="J92" i="53"/>
  <c r="T92" i="53"/>
  <c r="A93" i="53"/>
  <c r="G93" i="53"/>
  <c r="J93" i="53"/>
  <c r="T93" i="53"/>
  <c r="A94" i="53"/>
  <c r="G94" i="53"/>
  <c r="J94" i="53"/>
  <c r="T94" i="53"/>
  <c r="A95" i="53"/>
  <c r="G95" i="53"/>
  <c r="J95" i="53"/>
  <c r="T95" i="53"/>
  <c r="A96" i="53"/>
  <c r="G96" i="53"/>
  <c r="J96" i="53"/>
  <c r="T96" i="53"/>
  <c r="A97" i="53"/>
  <c r="G97" i="53"/>
  <c r="J97" i="53"/>
  <c r="T97" i="53"/>
  <c r="A98" i="53"/>
  <c r="G98" i="53"/>
  <c r="J98" i="53"/>
  <c r="T98" i="53"/>
  <c r="A99" i="53"/>
  <c r="G99" i="53"/>
  <c r="J99" i="53"/>
  <c r="T99" i="53"/>
  <c r="A100" i="53"/>
  <c r="G100" i="53"/>
  <c r="J100" i="53"/>
  <c r="T100" i="53"/>
  <c r="A101" i="53"/>
  <c r="G101" i="53"/>
  <c r="J101" i="53"/>
  <c r="T101" i="53"/>
  <c r="A102" i="53"/>
  <c r="G102" i="53"/>
  <c r="J102" i="53"/>
  <c r="T102" i="53"/>
  <c r="A103" i="53"/>
  <c r="G103" i="53"/>
  <c r="J103" i="53"/>
  <c r="T103" i="53"/>
  <c r="A104" i="53"/>
  <c r="G104" i="53"/>
  <c r="J104" i="53"/>
  <c r="T104" i="53"/>
  <c r="A105" i="53"/>
  <c r="G105" i="53"/>
  <c r="J105" i="53"/>
  <c r="T105" i="53"/>
  <c r="A106" i="53"/>
  <c r="G106" i="53"/>
  <c r="J106" i="53"/>
  <c r="T106" i="53"/>
  <c r="A107" i="53"/>
  <c r="G107" i="53"/>
  <c r="J107" i="53"/>
  <c r="T107" i="53"/>
  <c r="A108" i="53"/>
  <c r="G108" i="53"/>
  <c r="J108" i="53"/>
  <c r="T108" i="53"/>
  <c r="A109" i="53"/>
  <c r="G109" i="53"/>
  <c r="J109" i="53"/>
  <c r="T109" i="53"/>
  <c r="A110" i="53"/>
  <c r="G110" i="53"/>
  <c r="J110" i="53"/>
  <c r="T110" i="53"/>
  <c r="A111" i="53"/>
  <c r="G111" i="53"/>
  <c r="J111" i="53"/>
  <c r="T111" i="53"/>
  <c r="A112" i="53"/>
  <c r="G112" i="53"/>
  <c r="J112" i="53"/>
  <c r="T112" i="53"/>
  <c r="A113" i="53"/>
  <c r="G113" i="53"/>
  <c r="J113" i="53"/>
  <c r="T113" i="53"/>
  <c r="A114" i="53"/>
  <c r="G114" i="53"/>
  <c r="J114" i="53"/>
  <c r="T114" i="53"/>
  <c r="A115" i="53"/>
  <c r="G115" i="53"/>
  <c r="J115" i="53"/>
  <c r="T115" i="53"/>
  <c r="A116" i="53"/>
  <c r="G116" i="53"/>
  <c r="J116" i="53"/>
  <c r="T116" i="53"/>
  <c r="A117" i="53"/>
  <c r="G117" i="53"/>
  <c r="J117" i="53"/>
  <c r="T117" i="53"/>
  <c r="A118" i="53"/>
  <c r="G118" i="53"/>
  <c r="J118" i="53"/>
  <c r="T118" i="53"/>
  <c r="A119" i="53"/>
  <c r="G119" i="53"/>
  <c r="J119" i="53"/>
  <c r="T119" i="53"/>
  <c r="A120" i="53"/>
  <c r="G120" i="53"/>
  <c r="J120" i="53"/>
  <c r="T120" i="53"/>
  <c r="A121" i="53"/>
  <c r="G121" i="53"/>
  <c r="J121" i="53"/>
  <c r="T121" i="53"/>
  <c r="A69" i="37"/>
  <c r="E69" i="37"/>
  <c r="G69" i="37" s="1"/>
  <c r="A70" i="37"/>
  <c r="E70" i="37"/>
  <c r="G70" i="37" s="1"/>
  <c r="A71" i="37"/>
  <c r="E71" i="37"/>
  <c r="G71" i="37" s="1"/>
  <c r="A72" i="37"/>
  <c r="E72" i="37"/>
  <c r="G72" i="37" s="1"/>
  <c r="A73" i="37"/>
  <c r="E73" i="37"/>
  <c r="G73" i="37" s="1"/>
  <c r="A74" i="37"/>
  <c r="E74" i="37"/>
  <c r="G74" i="37"/>
  <c r="A75" i="37"/>
  <c r="E75" i="37"/>
  <c r="G75" i="37" s="1"/>
  <c r="A76" i="37"/>
  <c r="E76" i="37"/>
  <c r="G76" i="37" s="1"/>
  <c r="A77" i="37"/>
  <c r="E77" i="37"/>
  <c r="G77" i="37" s="1"/>
  <c r="A78" i="37"/>
  <c r="E78" i="37"/>
  <c r="G78" i="37" s="1"/>
  <c r="A79" i="37"/>
  <c r="E79" i="37"/>
  <c r="G79" i="37" s="1"/>
  <c r="A80" i="37"/>
  <c r="E80" i="37"/>
  <c r="G80" i="37" s="1"/>
  <c r="A81" i="37"/>
  <c r="E81" i="37"/>
  <c r="G81" i="37" s="1"/>
  <c r="A82" i="37"/>
  <c r="E82" i="37"/>
  <c r="G82" i="37" s="1"/>
  <c r="A83" i="37"/>
  <c r="E83" i="37"/>
  <c r="G83" i="37" s="1"/>
  <c r="A84" i="37"/>
  <c r="E84" i="37"/>
  <c r="G84" i="37"/>
  <c r="A85" i="37"/>
  <c r="E85" i="37"/>
  <c r="G85" i="37" s="1"/>
  <c r="A86" i="37"/>
  <c r="E86" i="37"/>
  <c r="G86" i="37" s="1"/>
  <c r="A87" i="37"/>
  <c r="E87" i="37"/>
  <c r="G87" i="37" s="1"/>
  <c r="A88" i="37"/>
  <c r="E88" i="37"/>
  <c r="G88" i="37" s="1"/>
  <c r="A89" i="37"/>
  <c r="E89" i="37"/>
  <c r="G89" i="37" s="1"/>
  <c r="A90" i="37"/>
  <c r="E90" i="37"/>
  <c r="G90" i="37" s="1"/>
  <c r="A91" i="37"/>
  <c r="E91" i="37"/>
  <c r="G91" i="37"/>
  <c r="A92" i="37"/>
  <c r="E92" i="37"/>
  <c r="G92" i="37"/>
  <c r="A93" i="37"/>
  <c r="E93" i="37"/>
  <c r="G93" i="37"/>
  <c r="A94" i="37"/>
  <c r="E94" i="37"/>
  <c r="G94" i="37" s="1"/>
  <c r="A95" i="37"/>
  <c r="E95" i="37"/>
  <c r="G95" i="37" s="1"/>
  <c r="A96" i="37"/>
  <c r="E96" i="37"/>
  <c r="G96" i="37" s="1"/>
  <c r="A97" i="37"/>
  <c r="E97" i="37"/>
  <c r="G97" i="37" s="1"/>
  <c r="A98" i="37"/>
  <c r="E98" i="37"/>
  <c r="G98" i="37" s="1"/>
  <c r="A99" i="37"/>
  <c r="E99" i="37"/>
  <c r="G99" i="37"/>
  <c r="A100" i="37"/>
  <c r="E100" i="37"/>
  <c r="G100" i="37"/>
  <c r="A101" i="37"/>
  <c r="E101" i="37"/>
  <c r="G101" i="37" s="1"/>
  <c r="A102" i="37"/>
  <c r="E102" i="37"/>
  <c r="G102" i="37" s="1"/>
  <c r="A103" i="37"/>
  <c r="E103" i="37"/>
  <c r="G103" i="37" s="1"/>
  <c r="A104" i="37"/>
  <c r="E104" i="37"/>
  <c r="G104" i="37" s="1"/>
  <c r="A105" i="37"/>
  <c r="E105" i="37"/>
  <c r="G105" i="37" s="1"/>
  <c r="A106" i="37"/>
  <c r="E106" i="37"/>
  <c r="G106" i="37" s="1"/>
  <c r="A107" i="37"/>
  <c r="E107" i="37"/>
  <c r="G107" i="37"/>
  <c r="A108" i="37"/>
  <c r="E108" i="37"/>
  <c r="G108" i="37"/>
  <c r="A109" i="37"/>
  <c r="E109" i="37"/>
  <c r="G109" i="37"/>
  <c r="A110" i="37"/>
  <c r="E110" i="37"/>
  <c r="G110" i="37" s="1"/>
  <c r="A111" i="37"/>
  <c r="E111" i="37"/>
  <c r="G111" i="37" s="1"/>
  <c r="A112" i="37"/>
  <c r="E112" i="37"/>
  <c r="G112" i="37" s="1"/>
  <c r="A113" i="37"/>
  <c r="E113" i="37"/>
  <c r="G113" i="37" s="1"/>
  <c r="A114" i="37"/>
  <c r="E114" i="37"/>
  <c r="G114" i="37" s="1"/>
  <c r="A115" i="37"/>
  <c r="E115" i="37"/>
  <c r="G115" i="37"/>
  <c r="A116" i="37"/>
  <c r="E116" i="37"/>
  <c r="G116" i="37"/>
  <c r="A117" i="37"/>
  <c r="E117" i="37"/>
  <c r="G117" i="37"/>
  <c r="A118" i="37"/>
  <c r="E118" i="37"/>
  <c r="G118" i="37" s="1"/>
  <c r="A119" i="37"/>
  <c r="E119" i="37"/>
  <c r="G119" i="37" s="1"/>
  <c r="A120" i="37"/>
  <c r="E120" i="37"/>
  <c r="G120" i="37" s="1"/>
  <c r="A121" i="37"/>
  <c r="E121" i="37"/>
  <c r="G121" i="37" s="1"/>
  <c r="A122" i="37"/>
  <c r="E122" i="37"/>
  <c r="G122" i="37" s="1"/>
  <c r="A123" i="37"/>
  <c r="E123" i="37"/>
  <c r="G123" i="37"/>
  <c r="A124" i="37"/>
  <c r="E124" i="37"/>
  <c r="G124" i="37"/>
  <c r="A125" i="37"/>
  <c r="E125" i="37"/>
  <c r="G125" i="37"/>
  <c r="A126" i="37"/>
  <c r="E126" i="37"/>
  <c r="G126" i="37" s="1"/>
  <c r="A127" i="37"/>
  <c r="E127" i="37"/>
  <c r="G127" i="37" s="1"/>
  <c r="A128" i="37"/>
  <c r="E128" i="37"/>
  <c r="G128" i="37" s="1"/>
  <c r="A129" i="37"/>
  <c r="E129" i="37"/>
  <c r="G129" i="37" s="1"/>
  <c r="E60" i="37"/>
  <c r="G60" i="37" s="1"/>
  <c r="E61" i="37"/>
  <c r="G61" i="37"/>
  <c r="E62" i="37"/>
  <c r="G62" i="37" s="1"/>
  <c r="E63" i="37"/>
  <c r="G63" i="37" s="1"/>
  <c r="E64" i="37"/>
  <c r="G64" i="37"/>
  <c r="E65" i="37"/>
  <c r="G65" i="37" s="1"/>
  <c r="E66" i="37"/>
  <c r="G66" i="37"/>
  <c r="E67" i="37"/>
  <c r="G67" i="37" s="1"/>
  <c r="E68" i="37"/>
  <c r="G68" i="37"/>
  <c r="E59" i="37"/>
  <c r="G59" i="37" s="1"/>
  <c r="M123" i="37"/>
  <c r="U123" i="37"/>
  <c r="M124" i="37"/>
  <c r="U124" i="37"/>
  <c r="M125" i="37"/>
  <c r="U125" i="37"/>
  <c r="M126" i="37"/>
  <c r="U126" i="37"/>
  <c r="M127" i="37"/>
  <c r="U127" i="37"/>
  <c r="M128" i="37"/>
  <c r="U128" i="37"/>
  <c r="U129" i="37"/>
  <c r="M93" i="37"/>
  <c r="U93" i="37"/>
  <c r="M94" i="37"/>
  <c r="U94" i="37"/>
  <c r="M95" i="37"/>
  <c r="U95" i="37"/>
  <c r="M96" i="37"/>
  <c r="U96" i="37"/>
  <c r="M97" i="37"/>
  <c r="U97" i="37"/>
  <c r="M98" i="37"/>
  <c r="U98" i="37"/>
  <c r="M99" i="37"/>
  <c r="U99" i="37"/>
  <c r="M100" i="37"/>
  <c r="U100" i="37"/>
  <c r="M101" i="37"/>
  <c r="U101" i="37"/>
  <c r="M102" i="37"/>
  <c r="U102" i="37"/>
  <c r="M103" i="37"/>
  <c r="U103" i="37"/>
  <c r="M104" i="37"/>
  <c r="U104" i="37"/>
  <c r="M105" i="37"/>
  <c r="U105" i="37"/>
  <c r="M106" i="37"/>
  <c r="U106" i="37"/>
  <c r="M107" i="37"/>
  <c r="U107" i="37"/>
  <c r="M108" i="37"/>
  <c r="U108" i="37"/>
  <c r="M109" i="37"/>
  <c r="U109" i="37"/>
  <c r="M110" i="37"/>
  <c r="U110" i="37"/>
  <c r="M111" i="37"/>
  <c r="U111" i="37"/>
  <c r="M112" i="37"/>
  <c r="U112" i="37"/>
  <c r="M113" i="37"/>
  <c r="U113" i="37"/>
  <c r="M114" i="37"/>
  <c r="U114" i="37"/>
  <c r="M115" i="37"/>
  <c r="U115" i="37"/>
  <c r="M116" i="37"/>
  <c r="U116" i="37"/>
  <c r="M117" i="37"/>
  <c r="U117" i="37"/>
  <c r="M118" i="37"/>
  <c r="U118" i="37"/>
  <c r="M119" i="37"/>
  <c r="U119" i="37"/>
  <c r="M120" i="37"/>
  <c r="U120" i="37"/>
  <c r="M121" i="37"/>
  <c r="U121" i="37"/>
  <c r="M122" i="37"/>
  <c r="U122" i="37"/>
  <c r="AG258" i="40"/>
  <c r="AG259" i="40"/>
  <c r="AG260" i="40"/>
  <c r="AG261" i="40"/>
  <c r="AG262" i="40"/>
  <c r="AG263" i="40"/>
  <c r="AG264" i="40"/>
  <c r="AG265" i="40"/>
  <c r="AG266" i="40"/>
  <c r="AG267" i="40"/>
  <c r="AG268" i="40"/>
  <c r="AG269" i="40"/>
  <c r="AG270" i="40"/>
  <c r="AG271" i="40"/>
  <c r="AG272" i="40"/>
  <c r="AG273" i="40"/>
  <c r="AG274" i="40"/>
  <c r="AG275" i="40"/>
  <c r="AG276" i="40"/>
  <c r="AG277" i="40"/>
  <c r="AG278" i="40"/>
  <c r="AG279" i="40"/>
  <c r="AG280" i="40"/>
  <c r="AG281" i="40"/>
  <c r="AG282" i="40"/>
  <c r="R218" i="40"/>
  <c r="Q218" i="40"/>
  <c r="J253" i="53" l="1"/>
  <c r="T253" i="53"/>
  <c r="T248" i="53"/>
  <c r="I38" i="9" s="1"/>
  <c r="G253" i="53"/>
  <c r="F29" i="9" s="1"/>
  <c r="G248" i="53"/>
  <c r="I13" i="9" s="1"/>
  <c r="J248" i="53"/>
  <c r="I18"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G14" i="52"/>
  <c r="G134" i="40"/>
  <c r="D11" i="52"/>
  <c r="C11" i="52"/>
  <c r="E34" i="52" l="1"/>
  <c r="AG433" i="40" l="1"/>
  <c r="M20" i="40"/>
  <c r="L20" i="40"/>
  <c r="M19" i="40"/>
  <c r="L19" i="40"/>
  <c r="M14" i="40"/>
  <c r="L14" i="40"/>
  <c r="Z206" i="40"/>
  <c r="AA206" i="40"/>
  <c r="AA24" i="40"/>
  <c r="S6" i="2" s="1"/>
  <c r="Z24" i="40"/>
  <c r="R6" i="2" s="1"/>
  <c r="Q24" i="40"/>
  <c r="I6" i="2" s="1"/>
  <c r="R24" i="40"/>
  <c r="J6" i="2" s="1"/>
  <c r="V149" i="40"/>
  <c r="V166" i="40"/>
  <c r="V167" i="40"/>
  <c r="V168" i="40"/>
  <c r="V169" i="40"/>
  <c r="V170" i="40"/>
  <c r="V171" i="40"/>
  <c r="V172" i="40"/>
  <c r="V173" i="40"/>
  <c r="V174" i="40"/>
  <c r="V175" i="40"/>
  <c r="V176" i="40"/>
  <c r="V177" i="40"/>
  <c r="V178" i="40"/>
  <c r="V179" i="40"/>
  <c r="V180" i="40"/>
  <c r="V181" i="40"/>
  <c r="V182" i="40"/>
  <c r="V183" i="40"/>
  <c r="V184" i="40"/>
  <c r="V185" i="40"/>
  <c r="V186" i="40"/>
  <c r="V187" i="40"/>
  <c r="V188" i="40"/>
  <c r="V189" i="40"/>
  <c r="V190" i="40"/>
  <c r="V191" i="40"/>
  <c r="V192" i="40"/>
  <c r="V193" i="40"/>
  <c r="V194" i="40"/>
  <c r="V195" i="40"/>
  <c r="V196" i="40"/>
  <c r="V197" i="40"/>
  <c r="V198" i="40"/>
  <c r="V199" i="40"/>
  <c r="V200" i="40"/>
  <c r="V201" i="40"/>
  <c r="V202" i="40"/>
  <c r="V203" i="40"/>
  <c r="V204" i="40"/>
  <c r="V160" i="40"/>
  <c r="V161" i="40"/>
  <c r="V162" i="40"/>
  <c r="V163" i="40"/>
  <c r="V164" i="40"/>
  <c r="V165" i="40"/>
  <c r="Z218" i="40"/>
  <c r="AA218" i="40"/>
  <c r="Z285" i="40"/>
  <c r="AA285" i="40"/>
  <c r="L258" i="40"/>
  <c r="M258" i="40"/>
  <c r="L259" i="40"/>
  <c r="M259" i="40"/>
  <c r="L260" i="40"/>
  <c r="M260" i="40"/>
  <c r="L261" i="40"/>
  <c r="M261" i="40"/>
  <c r="L262" i="40"/>
  <c r="M262" i="40"/>
  <c r="L263" i="40"/>
  <c r="M263" i="40"/>
  <c r="L264" i="40"/>
  <c r="M264" i="40"/>
  <c r="L265" i="40"/>
  <c r="M265" i="40"/>
  <c r="L266" i="40"/>
  <c r="M266" i="40"/>
  <c r="L267" i="40"/>
  <c r="M267" i="40"/>
  <c r="L268" i="40"/>
  <c r="M268" i="40"/>
  <c r="L269" i="40"/>
  <c r="M269" i="40"/>
  <c r="L270" i="40"/>
  <c r="M270" i="40"/>
  <c r="L271" i="40"/>
  <c r="M271" i="40"/>
  <c r="L272" i="40"/>
  <c r="M272" i="40"/>
  <c r="L273" i="40"/>
  <c r="M273" i="40"/>
  <c r="L274" i="40"/>
  <c r="M274" i="40"/>
  <c r="L275" i="40"/>
  <c r="M275" i="40"/>
  <c r="L276" i="40"/>
  <c r="M276" i="40"/>
  <c r="L277" i="40"/>
  <c r="M277" i="40"/>
  <c r="L278" i="40"/>
  <c r="M278" i="40"/>
  <c r="L279" i="40"/>
  <c r="M279" i="40"/>
  <c r="L280" i="40"/>
  <c r="M280" i="40"/>
  <c r="L281" i="40"/>
  <c r="M281" i="40"/>
  <c r="L282" i="40"/>
  <c r="M282" i="40"/>
  <c r="Q206" i="40"/>
  <c r="Q287" i="40" s="1"/>
  <c r="I7" i="2" s="1"/>
  <c r="R206" i="40"/>
  <c r="R287" i="40" s="1"/>
  <c r="J7" i="2" s="1"/>
  <c r="Z310" i="40"/>
  <c r="R8" i="2" s="1"/>
  <c r="AA310" i="40"/>
  <c r="S8" i="2" s="1"/>
  <c r="Q310" i="40"/>
  <c r="I8" i="2" s="1"/>
  <c r="R310" i="40"/>
  <c r="J8" i="2" s="1"/>
  <c r="Z332" i="40"/>
  <c r="R9" i="2" s="1"/>
  <c r="AA332" i="40"/>
  <c r="S9" i="2" s="1"/>
  <c r="Q332" i="40"/>
  <c r="I9" i="2" s="1"/>
  <c r="R332" i="40"/>
  <c r="J9" i="2" s="1"/>
  <c r="Q348" i="40"/>
  <c r="I10" i="2" s="1"/>
  <c r="R348" i="40"/>
  <c r="J10" i="2" s="1"/>
  <c r="Q367" i="40"/>
  <c r="I11" i="2" s="1"/>
  <c r="R367" i="40"/>
  <c r="J11" i="2" s="1"/>
  <c r="Q397" i="40"/>
  <c r="I12" i="2" s="1"/>
  <c r="R397" i="40"/>
  <c r="J12" i="2" s="1"/>
  <c r="Q410" i="40"/>
  <c r="I13" i="2" s="1"/>
  <c r="R410" i="40"/>
  <c r="J13" i="2" s="1"/>
  <c r="Q418" i="40"/>
  <c r="I14" i="2" s="1"/>
  <c r="R418" i="40"/>
  <c r="J14" i="2" s="1"/>
  <c r="Q435" i="40"/>
  <c r="I15" i="2" s="1"/>
  <c r="R435" i="40"/>
  <c r="J15" i="2" s="1"/>
  <c r="Q445" i="40"/>
  <c r="I16" i="2" s="1"/>
  <c r="R445" i="40"/>
  <c r="J16" i="2" s="1"/>
  <c r="Z348" i="40"/>
  <c r="R10" i="2" s="1"/>
  <c r="AA348" i="40"/>
  <c r="S10" i="2" s="1"/>
  <c r="Z367" i="40"/>
  <c r="R11" i="2" s="1"/>
  <c r="AA367" i="40"/>
  <c r="S11" i="2" s="1"/>
  <c r="Z397" i="40"/>
  <c r="R12" i="2" s="1"/>
  <c r="AA397" i="40"/>
  <c r="S12" i="2" s="1"/>
  <c r="Z410" i="40"/>
  <c r="R13" i="2" s="1"/>
  <c r="AA410" i="40"/>
  <c r="S13" i="2" s="1"/>
  <c r="Z418" i="40"/>
  <c r="R14" i="2" s="1"/>
  <c r="AA418" i="40"/>
  <c r="S14" i="2" s="1"/>
  <c r="Z435" i="40"/>
  <c r="R15" i="2" s="1"/>
  <c r="AA435" i="40"/>
  <c r="S15" i="2" s="1"/>
  <c r="Z445" i="40"/>
  <c r="R16" i="2" s="1"/>
  <c r="AA445" i="40"/>
  <c r="S16" i="2" s="1"/>
  <c r="G170" i="40"/>
  <c r="B95" i="53" s="1"/>
  <c r="G171" i="40"/>
  <c r="B96" i="53" s="1"/>
  <c r="G172" i="40"/>
  <c r="B97" i="53" s="1"/>
  <c r="G173" i="40"/>
  <c r="B98" i="53" s="1"/>
  <c r="G174" i="40"/>
  <c r="B99" i="53" s="1"/>
  <c r="G175" i="40"/>
  <c r="B100" i="53" s="1"/>
  <c r="G176" i="40"/>
  <c r="B101" i="53" s="1"/>
  <c r="G177" i="40"/>
  <c r="B102" i="53" s="1"/>
  <c r="G178" i="40"/>
  <c r="B103" i="53" s="1"/>
  <c r="G179" i="40"/>
  <c r="B104" i="53" s="1"/>
  <c r="G180" i="40"/>
  <c r="B105" i="53" s="1"/>
  <c r="G181" i="40"/>
  <c r="G182" i="40"/>
  <c r="B107" i="53" s="1"/>
  <c r="G183" i="40"/>
  <c r="B108" i="53" s="1"/>
  <c r="G184" i="40"/>
  <c r="B109" i="53" s="1"/>
  <c r="G185" i="40"/>
  <c r="B110" i="53" s="1"/>
  <c r="G186" i="40"/>
  <c r="B111" i="53" s="1"/>
  <c r="G187" i="40"/>
  <c r="B112" i="53" s="1"/>
  <c r="G188" i="40"/>
  <c r="B113" i="53" s="1"/>
  <c r="G189" i="40"/>
  <c r="B114" i="53" s="1"/>
  <c r="G190" i="40"/>
  <c r="B115" i="53" s="1"/>
  <c r="G191" i="40"/>
  <c r="B116" i="53" s="1"/>
  <c r="G192" i="40"/>
  <c r="B117" i="53" s="1"/>
  <c r="G193" i="40"/>
  <c r="B118" i="53" s="1"/>
  <c r="G194" i="40"/>
  <c r="B119" i="53" s="1"/>
  <c r="G195" i="40"/>
  <c r="G196" i="40"/>
  <c r="B121" i="53" s="1"/>
  <c r="G197" i="40"/>
  <c r="B122" i="53" s="1"/>
  <c r="G198" i="40"/>
  <c r="B123" i="53" s="1"/>
  <c r="G199" i="40"/>
  <c r="B124" i="53" s="1"/>
  <c r="G200" i="40"/>
  <c r="B125" i="53" s="1"/>
  <c r="G201" i="40"/>
  <c r="B126" i="53" s="1"/>
  <c r="G202" i="40"/>
  <c r="B127" i="53" s="1"/>
  <c r="G203" i="40"/>
  <c r="G204" i="40"/>
  <c r="B129" i="53" s="1"/>
  <c r="L235" i="40"/>
  <c r="M235" i="40"/>
  <c r="L236" i="40"/>
  <c r="M236" i="40"/>
  <c r="L237" i="40"/>
  <c r="M237" i="40"/>
  <c r="L238" i="40"/>
  <c r="M238" i="40"/>
  <c r="N238" i="40" s="1"/>
  <c r="L239" i="40"/>
  <c r="M239" i="40"/>
  <c r="L240" i="40"/>
  <c r="M240" i="40"/>
  <c r="L241" i="40"/>
  <c r="M241" i="40"/>
  <c r="L242" i="40"/>
  <c r="M242" i="40"/>
  <c r="L243" i="40"/>
  <c r="M243" i="40"/>
  <c r="L244" i="40"/>
  <c r="M244" i="40"/>
  <c r="L245" i="40"/>
  <c r="M245" i="40"/>
  <c r="L246" i="40"/>
  <c r="M246" i="40"/>
  <c r="N246" i="40" s="1"/>
  <c r="L247" i="40"/>
  <c r="M247" i="40"/>
  <c r="L248" i="40"/>
  <c r="M248" i="40"/>
  <c r="L249" i="40"/>
  <c r="M249" i="40"/>
  <c r="L250" i="40"/>
  <c r="M250" i="40"/>
  <c r="L251" i="40"/>
  <c r="M251" i="40"/>
  <c r="L252" i="40"/>
  <c r="M252" i="40"/>
  <c r="L253" i="40"/>
  <c r="M253" i="40"/>
  <c r="L254" i="40"/>
  <c r="M254" i="40"/>
  <c r="L255" i="40"/>
  <c r="M255" i="40"/>
  <c r="L256" i="40"/>
  <c r="M256" i="40"/>
  <c r="L257" i="40"/>
  <c r="M257" i="40"/>
  <c r="L283" i="40"/>
  <c r="M283" i="40"/>
  <c r="L284" i="40"/>
  <c r="M284" i="40"/>
  <c r="M234" i="40"/>
  <c r="L234" i="40"/>
  <c r="L226" i="40"/>
  <c r="M226" i="40"/>
  <c r="L227" i="40"/>
  <c r="M227" i="40"/>
  <c r="L228" i="40"/>
  <c r="M228" i="40"/>
  <c r="L229" i="40"/>
  <c r="M229" i="40"/>
  <c r="L230" i="40"/>
  <c r="M230" i="40"/>
  <c r="L231" i="40"/>
  <c r="M231" i="40"/>
  <c r="M225" i="40"/>
  <c r="L225" i="40"/>
  <c r="R193" i="53"/>
  <c r="Q193" i="53"/>
  <c r="C32" i="9" s="1"/>
  <c r="P193" i="53"/>
  <c r="H27" i="9" s="1"/>
  <c r="O193" i="53"/>
  <c r="G27" i="9" s="1"/>
  <c r="N193" i="53"/>
  <c r="F27" i="9" s="1"/>
  <c r="M193" i="53"/>
  <c r="E27" i="9" s="1"/>
  <c r="L193" i="53"/>
  <c r="K193" i="53"/>
  <c r="H193" i="53"/>
  <c r="E193" i="53"/>
  <c r="D193" i="53"/>
  <c r="C7" i="9" s="1"/>
  <c r="A164" i="53"/>
  <c r="A163" i="53"/>
  <c r="A162" i="53"/>
  <c r="T161" i="53"/>
  <c r="J161" i="53"/>
  <c r="G161" i="53"/>
  <c r="A161" i="53"/>
  <c r="T160" i="53"/>
  <c r="J160" i="53"/>
  <c r="G160" i="53"/>
  <c r="A160" i="53"/>
  <c r="T159" i="53"/>
  <c r="J159" i="53"/>
  <c r="G159" i="53"/>
  <c r="A159" i="53"/>
  <c r="T158" i="53"/>
  <c r="J158" i="53"/>
  <c r="G158" i="53"/>
  <c r="A158" i="53"/>
  <c r="T157" i="53"/>
  <c r="J157" i="53"/>
  <c r="G157" i="53"/>
  <c r="A157" i="53"/>
  <c r="T156" i="53"/>
  <c r="J156" i="53"/>
  <c r="G156" i="53"/>
  <c r="A156" i="53"/>
  <c r="T155" i="53"/>
  <c r="J155" i="53"/>
  <c r="G155" i="53"/>
  <c r="A155" i="53"/>
  <c r="T154" i="53"/>
  <c r="J154" i="53"/>
  <c r="G154" i="53"/>
  <c r="A154" i="53"/>
  <c r="T153" i="53"/>
  <c r="J153" i="53"/>
  <c r="G153" i="53"/>
  <c r="A153" i="53"/>
  <c r="T152" i="53"/>
  <c r="J152" i="53"/>
  <c r="G152" i="53"/>
  <c r="A152" i="53"/>
  <c r="T151" i="53"/>
  <c r="J151" i="53"/>
  <c r="G151" i="53"/>
  <c r="A151" i="53"/>
  <c r="T150" i="53"/>
  <c r="J150" i="53"/>
  <c r="G150" i="53"/>
  <c r="A150" i="53"/>
  <c r="T149" i="53"/>
  <c r="J149" i="53"/>
  <c r="G149" i="53"/>
  <c r="A149" i="53"/>
  <c r="T148" i="53"/>
  <c r="J148" i="53"/>
  <c r="G148" i="53"/>
  <c r="A148" i="53"/>
  <c r="T147" i="53"/>
  <c r="J147" i="53"/>
  <c r="G147" i="53"/>
  <c r="A147" i="53"/>
  <c r="T146" i="53"/>
  <c r="J146" i="53"/>
  <c r="G146" i="53"/>
  <c r="A146" i="53"/>
  <c r="T145" i="53"/>
  <c r="J145" i="53"/>
  <c r="G145" i="53"/>
  <c r="A145" i="53"/>
  <c r="T144" i="53"/>
  <c r="J144" i="53"/>
  <c r="G144" i="53"/>
  <c r="A144" i="53"/>
  <c r="T143" i="53"/>
  <c r="J143" i="53"/>
  <c r="G143" i="53"/>
  <c r="A143" i="53"/>
  <c r="T142" i="53"/>
  <c r="J142" i="53"/>
  <c r="G142" i="53"/>
  <c r="A142" i="53"/>
  <c r="T141" i="53"/>
  <c r="J141" i="53"/>
  <c r="G141" i="53"/>
  <c r="A141" i="53"/>
  <c r="T138" i="53"/>
  <c r="J138" i="53"/>
  <c r="G138" i="53"/>
  <c r="T137" i="53"/>
  <c r="J137" i="53"/>
  <c r="G137" i="53"/>
  <c r="T136" i="53"/>
  <c r="J136" i="53"/>
  <c r="G136" i="53"/>
  <c r="T135" i="53"/>
  <c r="J135" i="53"/>
  <c r="G135" i="53"/>
  <c r="T134" i="53"/>
  <c r="J134" i="53"/>
  <c r="G134" i="53"/>
  <c r="T133" i="53"/>
  <c r="J133" i="53"/>
  <c r="G133" i="53"/>
  <c r="T132" i="53"/>
  <c r="J132" i="53"/>
  <c r="G132" i="53"/>
  <c r="T79" i="53"/>
  <c r="J79" i="53"/>
  <c r="G79" i="53"/>
  <c r="A79" i="53"/>
  <c r="T78" i="53"/>
  <c r="J78" i="53"/>
  <c r="G78" i="53"/>
  <c r="A78" i="53"/>
  <c r="T77" i="53"/>
  <c r="J77" i="53"/>
  <c r="G77" i="53"/>
  <c r="A77" i="53"/>
  <c r="T76" i="53"/>
  <c r="J76" i="53"/>
  <c r="G76" i="53"/>
  <c r="A76" i="53"/>
  <c r="T75" i="53"/>
  <c r="J75" i="53"/>
  <c r="G75" i="53"/>
  <c r="A75" i="53"/>
  <c r="T74" i="53"/>
  <c r="J74" i="53"/>
  <c r="G74" i="53"/>
  <c r="A74" i="53"/>
  <c r="T73" i="53"/>
  <c r="J73" i="53"/>
  <c r="G73" i="53"/>
  <c r="A73" i="53"/>
  <c r="T72" i="53"/>
  <c r="J72" i="53"/>
  <c r="G72" i="53"/>
  <c r="A72" i="53"/>
  <c r="T71" i="53"/>
  <c r="J71" i="53"/>
  <c r="G71" i="53"/>
  <c r="A71" i="53"/>
  <c r="T70" i="53"/>
  <c r="J70" i="53"/>
  <c r="G70" i="53"/>
  <c r="A70" i="53"/>
  <c r="T69" i="53"/>
  <c r="J69" i="53"/>
  <c r="G69" i="53"/>
  <c r="A69" i="53"/>
  <c r="T68" i="53"/>
  <c r="J68" i="53"/>
  <c r="G68" i="53"/>
  <c r="A68" i="53"/>
  <c r="T67" i="53"/>
  <c r="J67" i="53"/>
  <c r="G67" i="53"/>
  <c r="A67" i="53"/>
  <c r="T66" i="53"/>
  <c r="J66" i="53"/>
  <c r="G66" i="53"/>
  <c r="A66" i="53"/>
  <c r="T65" i="53"/>
  <c r="J65" i="53"/>
  <c r="G65" i="53"/>
  <c r="A65" i="53"/>
  <c r="T64" i="53"/>
  <c r="J64" i="53"/>
  <c r="G64" i="53"/>
  <c r="A64" i="53"/>
  <c r="T63" i="53"/>
  <c r="J63" i="53"/>
  <c r="G63" i="53"/>
  <c r="A63" i="53"/>
  <c r="T62" i="53"/>
  <c r="J62" i="53"/>
  <c r="G62" i="53"/>
  <c r="A62" i="53"/>
  <c r="T61" i="53"/>
  <c r="J61" i="53"/>
  <c r="G61" i="53"/>
  <c r="A61" i="53"/>
  <c r="T60" i="53"/>
  <c r="J60" i="53"/>
  <c r="G60" i="53"/>
  <c r="A60" i="53"/>
  <c r="T59" i="53"/>
  <c r="J59" i="53"/>
  <c r="G59" i="53"/>
  <c r="A59" i="53"/>
  <c r="T56" i="53"/>
  <c r="J56" i="53"/>
  <c r="G56" i="53"/>
  <c r="T55" i="53"/>
  <c r="J55" i="53"/>
  <c r="G55" i="53"/>
  <c r="T54" i="53"/>
  <c r="J54" i="53"/>
  <c r="G54" i="53"/>
  <c r="T53" i="53"/>
  <c r="J53" i="53"/>
  <c r="G53" i="53"/>
  <c r="T52" i="53"/>
  <c r="J52" i="53"/>
  <c r="G52" i="53"/>
  <c r="T51" i="53"/>
  <c r="J51" i="53"/>
  <c r="G51" i="53"/>
  <c r="T50" i="53"/>
  <c r="J50" i="53"/>
  <c r="G50" i="53"/>
  <c r="T49" i="53"/>
  <c r="J49" i="53"/>
  <c r="G49" i="53"/>
  <c r="T48" i="53"/>
  <c r="J48" i="53"/>
  <c r="G48" i="53"/>
  <c r="T47" i="53"/>
  <c r="J47" i="53"/>
  <c r="G47" i="53"/>
  <c r="T46" i="53"/>
  <c r="J46" i="53"/>
  <c r="G46" i="53"/>
  <c r="T45" i="53"/>
  <c r="J45" i="53"/>
  <c r="G45" i="53"/>
  <c r="T44" i="53"/>
  <c r="J44" i="53"/>
  <c r="G44" i="53"/>
  <c r="T43" i="53"/>
  <c r="J43" i="53"/>
  <c r="G43" i="53"/>
  <c r="T42" i="53"/>
  <c r="J42" i="53"/>
  <c r="G42" i="53"/>
  <c r="T41" i="53"/>
  <c r="J41" i="53"/>
  <c r="G41" i="53"/>
  <c r="T40" i="53"/>
  <c r="J40" i="53"/>
  <c r="G40" i="53"/>
  <c r="T39" i="53"/>
  <c r="J39" i="53"/>
  <c r="G39" i="53"/>
  <c r="T38" i="53"/>
  <c r="T37" i="53"/>
  <c r="J37" i="53"/>
  <c r="G37" i="53"/>
  <c r="T36" i="53"/>
  <c r="J36" i="53"/>
  <c r="G36" i="53"/>
  <c r="T35" i="53"/>
  <c r="J35" i="53"/>
  <c r="G35" i="53"/>
  <c r="T34" i="53"/>
  <c r="J34" i="53"/>
  <c r="G34" i="53"/>
  <c r="T33" i="53"/>
  <c r="J33" i="53"/>
  <c r="G33" i="53"/>
  <c r="T32" i="53"/>
  <c r="J32" i="53"/>
  <c r="G32" i="53"/>
  <c r="T31" i="53"/>
  <c r="J31" i="53"/>
  <c r="G31" i="53"/>
  <c r="T30" i="53"/>
  <c r="J30" i="53"/>
  <c r="G30" i="53"/>
  <c r="T29" i="53"/>
  <c r="T28" i="53"/>
  <c r="J28" i="53"/>
  <c r="G28" i="53"/>
  <c r="A28" i="53"/>
  <c r="T27" i="53"/>
  <c r="J27" i="53"/>
  <c r="G27" i="53"/>
  <c r="T26" i="53"/>
  <c r="J26" i="53"/>
  <c r="G26" i="53"/>
  <c r="T25" i="53"/>
  <c r="J25" i="53"/>
  <c r="G25" i="53"/>
  <c r="T24" i="53"/>
  <c r="J24" i="53"/>
  <c r="G24" i="53"/>
  <c r="T23" i="53"/>
  <c r="J23" i="53"/>
  <c r="G23" i="53"/>
  <c r="T22" i="53"/>
  <c r="A22" i="53"/>
  <c r="T21" i="53"/>
  <c r="G21" i="53"/>
  <c r="A21" i="53"/>
  <c r="T20" i="53"/>
  <c r="J20" i="53"/>
  <c r="G20" i="53"/>
  <c r="T19" i="53"/>
  <c r="J19" i="53"/>
  <c r="G19" i="53"/>
  <c r="T18" i="53"/>
  <c r="J18" i="53"/>
  <c r="G18" i="53"/>
  <c r="T17" i="53"/>
  <c r="J17" i="53"/>
  <c r="G17" i="53"/>
  <c r="T16" i="53"/>
  <c r="J16" i="53"/>
  <c r="G16" i="53"/>
  <c r="T15" i="53"/>
  <c r="J15" i="53"/>
  <c r="G15" i="53"/>
  <c r="T14" i="53"/>
  <c r="J14" i="53"/>
  <c r="G14" i="53"/>
  <c r="T13" i="53"/>
  <c r="J13" i="53"/>
  <c r="G13" i="53"/>
  <c r="T12" i="53"/>
  <c r="J12" i="53"/>
  <c r="G12" i="53"/>
  <c r="T11" i="53"/>
  <c r="J11" i="53"/>
  <c r="G11" i="53"/>
  <c r="T10" i="53"/>
  <c r="J10" i="53"/>
  <c r="G10" i="53"/>
  <c r="T9" i="53"/>
  <c r="T8" i="53"/>
  <c r="J8" i="53"/>
  <c r="G8" i="53"/>
  <c r="T7" i="53"/>
  <c r="J7" i="53"/>
  <c r="G7" i="53"/>
  <c r="T6" i="53"/>
  <c r="J6" i="53"/>
  <c r="G6" i="53"/>
  <c r="T5" i="53"/>
  <c r="J5" i="53"/>
  <c r="G5" i="53"/>
  <c r="A4" i="53"/>
  <c r="S3" i="53"/>
  <c r="R3" i="53"/>
  <c r="Q3" i="53"/>
  <c r="I3" i="53"/>
  <c r="H3" i="53"/>
  <c r="F3" i="53"/>
  <c r="E3" i="53"/>
  <c r="R2" i="53"/>
  <c r="K2" i="53"/>
  <c r="H2" i="53"/>
  <c r="E2" i="53"/>
  <c r="A1" i="53"/>
  <c r="I17" i="2" l="1"/>
  <c r="I22" i="2" s="1"/>
  <c r="M181" i="40"/>
  <c r="B106" i="53"/>
  <c r="L203" i="40"/>
  <c r="B128" i="53"/>
  <c r="L195" i="40"/>
  <c r="B120" i="53"/>
  <c r="L202" i="40"/>
  <c r="I127" i="37"/>
  <c r="AG194" i="40"/>
  <c r="I119" i="37"/>
  <c r="AG186" i="40"/>
  <c r="I111" i="37"/>
  <c r="I107" i="37"/>
  <c r="AG170" i="40"/>
  <c r="I95" i="37"/>
  <c r="I126" i="37"/>
  <c r="I122" i="37"/>
  <c r="I118" i="37"/>
  <c r="I114" i="37"/>
  <c r="I110" i="37"/>
  <c r="I106" i="37"/>
  <c r="I102" i="37"/>
  <c r="I98" i="37"/>
  <c r="L198" i="40"/>
  <c r="I123" i="37"/>
  <c r="L178" i="40"/>
  <c r="I103" i="37"/>
  <c r="W200" i="40"/>
  <c r="I125" i="37"/>
  <c r="I121" i="37"/>
  <c r="W192" i="40"/>
  <c r="I117" i="37"/>
  <c r="I113" i="37"/>
  <c r="I109" i="37"/>
  <c r="L180" i="40"/>
  <c r="I105" i="37"/>
  <c r="I101" i="37"/>
  <c r="I97" i="37"/>
  <c r="M190" i="40"/>
  <c r="I115" i="37"/>
  <c r="I99" i="37"/>
  <c r="I128" i="37"/>
  <c r="I124" i="37"/>
  <c r="I120" i="37"/>
  <c r="L191" i="40"/>
  <c r="I116" i="37"/>
  <c r="I112" i="37"/>
  <c r="I108" i="37"/>
  <c r="I104" i="37"/>
  <c r="I100" i="37"/>
  <c r="I96" i="37"/>
  <c r="J17" i="2"/>
  <c r="J22" i="2" s="1"/>
  <c r="AG204" i="40"/>
  <c r="I129" i="37"/>
  <c r="M178" i="40"/>
  <c r="M170" i="40"/>
  <c r="M194" i="40"/>
  <c r="L194" i="40"/>
  <c r="L170" i="40"/>
  <c r="N252" i="40"/>
  <c r="N248" i="40"/>
  <c r="N244" i="40"/>
  <c r="N240" i="40"/>
  <c r="N236" i="40"/>
  <c r="M186" i="40"/>
  <c r="L186" i="40"/>
  <c r="M202" i="40"/>
  <c r="AA287" i="40"/>
  <c r="S7" i="2" s="1"/>
  <c r="S17" i="2" s="1"/>
  <c r="S22" i="2" s="1"/>
  <c r="N255" i="40"/>
  <c r="L199" i="40"/>
  <c r="AG199" i="40"/>
  <c r="M191" i="40"/>
  <c r="AG191" i="40"/>
  <c r="L183" i="40"/>
  <c r="AG183" i="40"/>
  <c r="M175" i="40"/>
  <c r="AG175" i="40"/>
  <c r="Z287" i="40"/>
  <c r="R7" i="2" s="1"/>
  <c r="R17" i="2" s="1"/>
  <c r="R22" i="2" s="1"/>
  <c r="N235" i="40"/>
  <c r="L197" i="40"/>
  <c r="AG197" i="40"/>
  <c r="W189" i="40"/>
  <c r="AG189" i="40"/>
  <c r="L181" i="40"/>
  <c r="N181" i="40" s="1"/>
  <c r="AG181" i="40"/>
  <c r="L173" i="40"/>
  <c r="AG173" i="40"/>
  <c r="W196" i="40"/>
  <c r="AG196" i="40"/>
  <c r="W188" i="40"/>
  <c r="AG188" i="40"/>
  <c r="M180" i="40"/>
  <c r="AG180" i="40"/>
  <c r="L172" i="40"/>
  <c r="AG172" i="40"/>
  <c r="L174" i="40"/>
  <c r="AG174" i="40"/>
  <c r="M197" i="40"/>
  <c r="M189" i="40"/>
  <c r="M203" i="40"/>
  <c r="N203" i="40" s="1"/>
  <c r="AG203" i="40"/>
  <c r="M195" i="40"/>
  <c r="N195" i="40" s="1"/>
  <c r="AG195" i="40"/>
  <c r="L187" i="40"/>
  <c r="AG187" i="40"/>
  <c r="L179" i="40"/>
  <c r="AG179" i="40"/>
  <c r="L171" i="40"/>
  <c r="AG171" i="40"/>
  <c r="M198" i="40"/>
  <c r="AG198" i="40"/>
  <c r="M196" i="40"/>
  <c r="L189" i="40"/>
  <c r="W202" i="40"/>
  <c r="AG202" i="40"/>
  <c r="W178" i="40"/>
  <c r="AG178" i="40"/>
  <c r="L190" i="40"/>
  <c r="AG190" i="40"/>
  <c r="N251" i="40"/>
  <c r="M204" i="40"/>
  <c r="L196" i="40"/>
  <c r="M188" i="40"/>
  <c r="N249" i="40"/>
  <c r="N245" i="40"/>
  <c r="N241" i="40"/>
  <c r="N237" i="40"/>
  <c r="L201" i="40"/>
  <c r="AG201" i="40"/>
  <c r="L193" i="40"/>
  <c r="AG193" i="40"/>
  <c r="L185" i="40"/>
  <c r="AG185" i="40"/>
  <c r="L177" i="40"/>
  <c r="AG177" i="40"/>
  <c r="L182" i="40"/>
  <c r="AG182" i="40"/>
  <c r="N243" i="40"/>
  <c r="L204" i="40"/>
  <c r="L188" i="40"/>
  <c r="M200" i="40"/>
  <c r="AG200" i="40"/>
  <c r="M192" i="40"/>
  <c r="AG192" i="40"/>
  <c r="L184" i="40"/>
  <c r="AG184" i="40"/>
  <c r="L176" i="40"/>
  <c r="AG176" i="40"/>
  <c r="N229" i="40"/>
  <c r="W180" i="40"/>
  <c r="N14" i="40"/>
  <c r="N228" i="40"/>
  <c r="N284" i="40"/>
  <c r="N247" i="40"/>
  <c r="N239" i="40"/>
  <c r="W184" i="40"/>
  <c r="N231" i="40"/>
  <c r="N227" i="40"/>
  <c r="N283" i="40"/>
  <c r="N250" i="40"/>
  <c r="N242" i="40"/>
  <c r="W176" i="40"/>
  <c r="N230" i="40"/>
  <c r="N226" i="40"/>
  <c r="N257" i="40"/>
  <c r="N253" i="40"/>
  <c r="W194" i="40"/>
  <c r="W186" i="40"/>
  <c r="N20" i="40"/>
  <c r="N19" i="40"/>
  <c r="M187" i="40"/>
  <c r="N234" i="40"/>
  <c r="W204" i="40"/>
  <c r="W171" i="40"/>
  <c r="M171" i="40"/>
  <c r="W203" i="40"/>
  <c r="W199" i="40"/>
  <c r="W195" i="40"/>
  <c r="W191" i="40"/>
  <c r="W187" i="40"/>
  <c r="W183" i="40"/>
  <c r="W179" i="40"/>
  <c r="W175" i="40"/>
  <c r="W170" i="40"/>
  <c r="W174" i="40"/>
  <c r="N256" i="40"/>
  <c r="W198" i="40"/>
  <c r="W190" i="40"/>
  <c r="W182" i="40"/>
  <c r="W173" i="40"/>
  <c r="M179" i="40"/>
  <c r="W201" i="40"/>
  <c r="W197" i="40"/>
  <c r="W193" i="40"/>
  <c r="W185" i="40"/>
  <c r="W181" i="40"/>
  <c r="W177" i="40"/>
  <c r="N225" i="40"/>
  <c r="N254" i="40"/>
  <c r="W172" i="40"/>
  <c r="M185" i="40"/>
  <c r="L200" i="40"/>
  <c r="M184" i="40"/>
  <c r="N178" i="40"/>
  <c r="L175" i="40"/>
  <c r="L192" i="40"/>
  <c r="M174" i="40"/>
  <c r="M173" i="40"/>
  <c r="M172" i="40"/>
  <c r="M201" i="40"/>
  <c r="M177" i="40"/>
  <c r="M183" i="40"/>
  <c r="M193" i="40"/>
  <c r="M176" i="40"/>
  <c r="M199" i="40"/>
  <c r="M182" i="40"/>
  <c r="T193" i="53"/>
  <c r="I37" i="9" s="1"/>
  <c r="G193" i="53"/>
  <c r="I12" i="9" s="1"/>
  <c r="J193" i="53"/>
  <c r="I17" i="9" s="1"/>
  <c r="B17" i="22"/>
  <c r="A18" i="22"/>
  <c r="AG13" i="40"/>
  <c r="N191" i="40" l="1"/>
  <c r="N173" i="40"/>
  <c r="N183" i="40"/>
  <c r="N190" i="40"/>
  <c r="N198" i="40"/>
  <c r="N180" i="40"/>
  <c r="N174" i="40"/>
  <c r="N184" i="40"/>
  <c r="N204" i="40"/>
  <c r="N202" i="40"/>
  <c r="N194" i="40"/>
  <c r="J100" i="37"/>
  <c r="K100" i="37" s="1"/>
  <c r="L100" i="37" s="1"/>
  <c r="J108" i="37"/>
  <c r="J116" i="37"/>
  <c r="J128" i="37"/>
  <c r="K128" i="37" s="1"/>
  <c r="J113" i="37"/>
  <c r="K113" i="37" s="1"/>
  <c r="L113" i="37" s="1"/>
  <c r="J110" i="37"/>
  <c r="K110" i="37" s="1"/>
  <c r="L110" i="37" s="1"/>
  <c r="J118" i="37"/>
  <c r="J107" i="37"/>
  <c r="K107" i="37"/>
  <c r="L107" i="37" s="1"/>
  <c r="J127" i="37"/>
  <c r="K127" i="37" s="1"/>
  <c r="J120" i="37"/>
  <c r="K120" i="37"/>
  <c r="L120" i="37" s="1"/>
  <c r="J115" i="37"/>
  <c r="K115" i="37" s="1"/>
  <c r="L115" i="37" s="1"/>
  <c r="J105" i="37"/>
  <c r="J103" i="37"/>
  <c r="J126" i="37"/>
  <c r="N175" i="40"/>
  <c r="J124" i="37"/>
  <c r="K124" i="37" s="1"/>
  <c r="J99" i="37"/>
  <c r="J101" i="37"/>
  <c r="J121" i="37"/>
  <c r="K121" i="37" s="1"/>
  <c r="L121" i="37" s="1"/>
  <c r="J98" i="37"/>
  <c r="K98" i="37" s="1"/>
  <c r="L98" i="37" s="1"/>
  <c r="J106" i="37"/>
  <c r="K106" i="37" s="1"/>
  <c r="L106" i="37" s="1"/>
  <c r="J122" i="37"/>
  <c r="K122" i="37" s="1"/>
  <c r="L122" i="37" s="1"/>
  <c r="J95" i="37"/>
  <c r="K95" i="37" s="1"/>
  <c r="L95" i="37" s="1"/>
  <c r="J119" i="37"/>
  <c r="K119" i="37"/>
  <c r="L119" i="37" s="1"/>
  <c r="J97" i="37"/>
  <c r="J125" i="37"/>
  <c r="K125" i="37" s="1"/>
  <c r="J102" i="37"/>
  <c r="N193" i="40"/>
  <c r="N189" i="40"/>
  <c r="N170" i="40"/>
  <c r="J96" i="37"/>
  <c r="K96" i="37" s="1"/>
  <c r="L96" i="37" s="1"/>
  <c r="J104" i="37"/>
  <c r="J112" i="37"/>
  <c r="K112" i="37" s="1"/>
  <c r="L112" i="37" s="1"/>
  <c r="J109" i="37"/>
  <c r="K109" i="37"/>
  <c r="L109" i="37" s="1"/>
  <c r="J117" i="37"/>
  <c r="K117" i="37" s="1"/>
  <c r="L117" i="37" s="1"/>
  <c r="J123" i="37"/>
  <c r="K123" i="37" s="1"/>
  <c r="J114" i="37"/>
  <c r="J111" i="37"/>
  <c r="J129" i="37"/>
  <c r="K129" i="37" s="1"/>
  <c r="N185" i="40"/>
  <c r="N200" i="40"/>
  <c r="N186" i="40"/>
  <c r="N171" i="40"/>
  <c r="N177" i="40"/>
  <c r="N192" i="40"/>
  <c r="N188" i="40"/>
  <c r="N196" i="40"/>
  <c r="N197" i="40"/>
  <c r="N199" i="40"/>
  <c r="N172" i="40"/>
  <c r="N201" i="40"/>
  <c r="N187" i="40"/>
  <c r="N182" i="40"/>
  <c r="N176" i="40"/>
  <c r="N179" i="40"/>
  <c r="L123" i="37" l="1"/>
  <c r="Q123" i="37" s="1"/>
  <c r="S106" i="37"/>
  <c r="T106" i="37"/>
  <c r="Q106" i="37"/>
  <c r="R106" i="37"/>
  <c r="S117" i="37"/>
  <c r="R117" i="37"/>
  <c r="T117" i="37"/>
  <c r="Q117" i="37"/>
  <c r="R119" i="37"/>
  <c r="S119" i="37"/>
  <c r="T119" i="37"/>
  <c r="Q119" i="37"/>
  <c r="S98" i="37"/>
  <c r="T98" i="37"/>
  <c r="Q98" i="37"/>
  <c r="R98" i="37"/>
  <c r="S121" i="37"/>
  <c r="R121" i="37"/>
  <c r="T121" i="37"/>
  <c r="Q121" i="37"/>
  <c r="S112" i="37"/>
  <c r="R112" i="37"/>
  <c r="T112" i="37"/>
  <c r="Q112" i="37"/>
  <c r="S122" i="37"/>
  <c r="T122" i="37"/>
  <c r="Q122" i="37"/>
  <c r="R122" i="37"/>
  <c r="T120" i="37"/>
  <c r="S120" i="37"/>
  <c r="Q120" i="37"/>
  <c r="R120" i="37"/>
  <c r="S107" i="37"/>
  <c r="R107" i="37"/>
  <c r="T107" i="37"/>
  <c r="Q107" i="37"/>
  <c r="S113" i="37"/>
  <c r="T113" i="37"/>
  <c r="Q113" i="37"/>
  <c r="R113" i="37"/>
  <c r="S96" i="37"/>
  <c r="T96" i="37"/>
  <c r="Q96" i="37"/>
  <c r="R96" i="37"/>
  <c r="K97" i="37"/>
  <c r="L97" i="37" s="1"/>
  <c r="K99" i="37"/>
  <c r="L99" i="37" s="1"/>
  <c r="K103" i="37"/>
  <c r="L103" i="37" s="1"/>
  <c r="S115" i="37"/>
  <c r="R115" i="37"/>
  <c r="T115" i="37"/>
  <c r="Q115" i="37"/>
  <c r="S110" i="37"/>
  <c r="Q110" i="37"/>
  <c r="R110" i="37"/>
  <c r="T110" i="37"/>
  <c r="S100" i="37"/>
  <c r="Q100" i="37"/>
  <c r="T100" i="37"/>
  <c r="R100" i="37"/>
  <c r="S109" i="37"/>
  <c r="T109" i="37"/>
  <c r="Q109" i="37"/>
  <c r="R109" i="37"/>
  <c r="S95" i="37"/>
  <c r="T95" i="37"/>
  <c r="Q95" i="37"/>
  <c r="R95" i="37"/>
  <c r="L129" i="37"/>
  <c r="S129" i="37" s="1"/>
  <c r="K114" i="37"/>
  <c r="L114" i="37" s="1"/>
  <c r="K111" i="37"/>
  <c r="L111" i="37" s="1"/>
  <c r="K104" i="37"/>
  <c r="L104" i="37" s="1"/>
  <c r="K102" i="37"/>
  <c r="L102" i="37" s="1"/>
  <c r="L125" i="37"/>
  <c r="K101" i="37"/>
  <c r="L101" i="37" s="1"/>
  <c r="L124" i="37"/>
  <c r="K126" i="37"/>
  <c r="L126" i="37" s="1"/>
  <c r="K105" i="37"/>
  <c r="L105" i="37" s="1"/>
  <c r="L127" i="37"/>
  <c r="K118" i="37"/>
  <c r="L118" i="37" s="1"/>
  <c r="L128" i="37"/>
  <c r="K116" i="37"/>
  <c r="L116" i="37" s="1"/>
  <c r="K108" i="37"/>
  <c r="L108" i="37" s="1"/>
  <c r="D3" i="2"/>
  <c r="B33" i="22"/>
  <c r="R123" i="37" l="1"/>
  <c r="T123" i="37"/>
  <c r="R129" i="37"/>
  <c r="S123" i="37"/>
  <c r="Q126" i="37"/>
  <c r="T126" i="37"/>
  <c r="S126" i="37"/>
  <c r="R126" i="37"/>
  <c r="S105" i="37"/>
  <c r="T105" i="37"/>
  <c r="Q105" i="37"/>
  <c r="R105" i="37"/>
  <c r="S128" i="37"/>
  <c r="Q128" i="37"/>
  <c r="R128" i="37"/>
  <c r="T128" i="37"/>
  <c r="T129" i="37"/>
  <c r="Q124" i="37"/>
  <c r="T124" i="37"/>
  <c r="S124" i="37"/>
  <c r="R124" i="37"/>
  <c r="S103" i="37"/>
  <c r="T103" i="37"/>
  <c r="R103" i="37"/>
  <c r="Q103" i="37"/>
  <c r="Q127" i="37"/>
  <c r="T127" i="37"/>
  <c r="S127" i="37"/>
  <c r="R127" i="37"/>
  <c r="S102" i="37"/>
  <c r="Q102" i="37"/>
  <c r="R102" i="37"/>
  <c r="T102" i="37"/>
  <c r="Q129" i="37"/>
  <c r="T108" i="37"/>
  <c r="S108" i="37"/>
  <c r="R108" i="37"/>
  <c r="Q108" i="37"/>
  <c r="S101" i="37"/>
  <c r="T101" i="37"/>
  <c r="Q101" i="37"/>
  <c r="R101" i="37"/>
  <c r="S111" i="37"/>
  <c r="R111" i="37"/>
  <c r="T111" i="37"/>
  <c r="Q111" i="37"/>
  <c r="S99" i="37"/>
  <c r="T99" i="37"/>
  <c r="Q99" i="37"/>
  <c r="R99" i="37"/>
  <c r="N34" i="2"/>
  <c r="P34" i="2" s="1"/>
  <c r="Q34" i="2" s="1"/>
  <c r="S116" i="37"/>
  <c r="R116" i="37"/>
  <c r="T116" i="37"/>
  <c r="Q116" i="37"/>
  <c r="S118" i="37"/>
  <c r="T118" i="37"/>
  <c r="Q118" i="37"/>
  <c r="R118" i="37"/>
  <c r="Q125" i="37"/>
  <c r="T125" i="37"/>
  <c r="R125" i="37"/>
  <c r="S125" i="37"/>
  <c r="S104" i="37"/>
  <c r="T104" i="37"/>
  <c r="Q104" i="37"/>
  <c r="R104" i="37"/>
  <c r="S114" i="37"/>
  <c r="T114" i="37"/>
  <c r="R114" i="37"/>
  <c r="Q114" i="37"/>
  <c r="S97" i="37"/>
  <c r="R97" i="37"/>
  <c r="T97" i="37"/>
  <c r="Q97" i="37"/>
  <c r="W62" i="26" l="1"/>
  <c r="X62" i="26"/>
  <c r="V62" i="26"/>
  <c r="X55" i="26"/>
  <c r="W55" i="26"/>
  <c r="V55" i="26"/>
  <c r="T62" i="26"/>
  <c r="S62" i="26"/>
  <c r="R62" i="26"/>
  <c r="O62" i="26"/>
  <c r="O55" i="26"/>
  <c r="G336" i="40" s="1"/>
  <c r="T55" i="26"/>
  <c r="S55" i="26"/>
  <c r="R55" i="26"/>
  <c r="Y285" i="40"/>
  <c r="X285" i="40"/>
  <c r="U285" i="40"/>
  <c r="T285" i="40"/>
  <c r="V255" i="40"/>
  <c r="W255" i="40" s="1"/>
  <c r="V256" i="40"/>
  <c r="W256" i="40" s="1"/>
  <c r="V257" i="40"/>
  <c r="W257" i="40" s="1"/>
  <c r="V283" i="40"/>
  <c r="W283" i="40" s="1"/>
  <c r="V284" i="40"/>
  <c r="W284" i="40" s="1"/>
  <c r="B28" i="2"/>
  <c r="B27" i="2"/>
  <c r="D12" i="52"/>
  <c r="C12" i="52"/>
  <c r="AI134" i="40"/>
  <c r="E11" i="52" l="1"/>
  <c r="C12" i="45"/>
  <c r="C42" i="46"/>
  <c r="C40" i="46"/>
  <c r="C37" i="46"/>
  <c r="M90" i="37" l="1"/>
  <c r="U90" i="37"/>
  <c r="M91" i="37"/>
  <c r="U91" i="37"/>
  <c r="M92" i="37"/>
  <c r="U92" i="37"/>
  <c r="G165" i="40"/>
  <c r="B90" i="53" s="1"/>
  <c r="G166" i="40"/>
  <c r="B91" i="53" s="1"/>
  <c r="G167" i="40"/>
  <c r="B92" i="53" s="1"/>
  <c r="G168" i="40"/>
  <c r="B93" i="53" s="1"/>
  <c r="G169" i="40"/>
  <c r="B94" i="53" s="1"/>
  <c r="E20" i="52"/>
  <c r="E19" i="52"/>
  <c r="E18" i="52"/>
  <c r="E17" i="52"/>
  <c r="E16" i="52"/>
  <c r="E15" i="52"/>
  <c r="E14" i="52"/>
  <c r="E6" i="52"/>
  <c r="W166" i="40" l="1"/>
  <c r="W169" i="40"/>
  <c r="I94" i="37"/>
  <c r="W165" i="40"/>
  <c r="W168" i="40"/>
  <c r="I93" i="37"/>
  <c r="W167" i="40"/>
  <c r="AG169" i="40"/>
  <c r="L169" i="40"/>
  <c r="M169" i="40"/>
  <c r="AG168" i="40"/>
  <c r="L168" i="40"/>
  <c r="M168" i="40"/>
  <c r="I92" i="37"/>
  <c r="J92" i="37" s="1"/>
  <c r="L167" i="40"/>
  <c r="M167" i="40"/>
  <c r="I91" i="37"/>
  <c r="J91" i="37" s="1"/>
  <c r="K91" i="37" s="1"/>
  <c r="L91" i="37" s="1"/>
  <c r="M166" i="40"/>
  <c r="L166" i="40"/>
  <c r="N166" i="40" s="1"/>
  <c r="AG165" i="40"/>
  <c r="L165" i="40"/>
  <c r="M165" i="40"/>
  <c r="N165" i="40" s="1"/>
  <c r="AG166" i="40"/>
  <c r="AG167" i="40"/>
  <c r="I90" i="37"/>
  <c r="J90" i="37" s="1"/>
  <c r="E12" i="52"/>
  <c r="M88" i="37"/>
  <c r="U88" i="37"/>
  <c r="M89" i="37"/>
  <c r="U89" i="37"/>
  <c r="M80" i="37"/>
  <c r="U80" i="37"/>
  <c r="M81" i="37"/>
  <c r="U81" i="37"/>
  <c r="M82" i="37"/>
  <c r="U82" i="37"/>
  <c r="M83" i="37"/>
  <c r="U83" i="37"/>
  <c r="M84" i="37"/>
  <c r="U84" i="37"/>
  <c r="M85" i="37"/>
  <c r="U85" i="37"/>
  <c r="M86" i="37"/>
  <c r="U86" i="37"/>
  <c r="M87" i="37"/>
  <c r="U87" i="37"/>
  <c r="AG255" i="40"/>
  <c r="AG256" i="40"/>
  <c r="AG257" i="40"/>
  <c r="AG283" i="40"/>
  <c r="AG284" i="40"/>
  <c r="G160" i="40"/>
  <c r="B85" i="53" s="1"/>
  <c r="G161" i="40"/>
  <c r="B86" i="53" s="1"/>
  <c r="G162" i="40"/>
  <c r="B87" i="53" s="1"/>
  <c r="G163" i="40"/>
  <c r="B88" i="53" s="1"/>
  <c r="G164" i="40"/>
  <c r="B89" i="53" s="1"/>
  <c r="K92" i="37" l="1"/>
  <c r="L92" i="37" s="1"/>
  <c r="W161" i="40"/>
  <c r="W164" i="40"/>
  <c r="W160" i="40"/>
  <c r="J93" i="37"/>
  <c r="W163" i="40"/>
  <c r="W162" i="40"/>
  <c r="J94" i="37"/>
  <c r="K94" i="37" s="1"/>
  <c r="L94" i="37" s="1"/>
  <c r="N168" i="40"/>
  <c r="N167" i="40"/>
  <c r="N169" i="40"/>
  <c r="AG163" i="40"/>
  <c r="L163" i="40"/>
  <c r="M163" i="40"/>
  <c r="N163" i="40" s="1"/>
  <c r="AG161" i="40"/>
  <c r="L161" i="40"/>
  <c r="M161" i="40"/>
  <c r="AG160" i="40"/>
  <c r="L160" i="40"/>
  <c r="M160" i="40"/>
  <c r="AG164" i="40"/>
  <c r="L164" i="40"/>
  <c r="M164" i="40"/>
  <c r="AG162" i="40"/>
  <c r="L162" i="40"/>
  <c r="M162" i="40"/>
  <c r="K90" i="37"/>
  <c r="L90" i="37" s="1"/>
  <c r="T90" i="37" s="1"/>
  <c r="R91" i="37"/>
  <c r="S91" i="37"/>
  <c r="T91" i="37"/>
  <c r="Q91" i="37"/>
  <c r="R92" i="37"/>
  <c r="S92" i="37"/>
  <c r="T92" i="37"/>
  <c r="Q92" i="37"/>
  <c r="I87" i="37"/>
  <c r="J87" i="37" s="1"/>
  <c r="I86" i="37"/>
  <c r="J86" i="37" s="1"/>
  <c r="I85" i="37"/>
  <c r="J85" i="37" s="1"/>
  <c r="I89" i="37"/>
  <c r="J89" i="37" s="1"/>
  <c r="I88" i="37"/>
  <c r="J88" i="37" s="1"/>
  <c r="G7" i="9"/>
  <c r="D26" i="9"/>
  <c r="D29" i="9" s="1"/>
  <c r="C26" i="9"/>
  <c r="C29" i="9" s="1"/>
  <c r="I29" i="9" s="1"/>
  <c r="A12" i="10"/>
  <c r="E38" i="22"/>
  <c r="F38" i="22"/>
  <c r="S94" i="37" l="1"/>
  <c r="T94" i="37"/>
  <c r="Q94" i="37"/>
  <c r="R94" i="37"/>
  <c r="K93" i="37"/>
  <c r="L93" i="37" s="1"/>
  <c r="D28" i="9"/>
  <c r="D27" i="9"/>
  <c r="C28" i="9"/>
  <c r="C27" i="9"/>
  <c r="N162" i="40"/>
  <c r="N161" i="40"/>
  <c r="N160" i="40"/>
  <c r="N164" i="40"/>
  <c r="S90" i="37"/>
  <c r="R90" i="37"/>
  <c r="Q90" i="37"/>
  <c r="K85" i="37"/>
  <c r="L85" i="37" s="1"/>
  <c r="Q85" i="37" s="1"/>
  <c r="K86" i="37"/>
  <c r="L86" i="37" s="1"/>
  <c r="T86" i="37" s="1"/>
  <c r="K87" i="37"/>
  <c r="L87" i="37" s="1"/>
  <c r="Q87" i="37" s="1"/>
  <c r="K88" i="37"/>
  <c r="L88" i="37" s="1"/>
  <c r="S88" i="37" s="1"/>
  <c r="K89" i="37"/>
  <c r="L89" i="37" s="1"/>
  <c r="R89" i="37" s="1"/>
  <c r="S93" i="37" l="1"/>
  <c r="R93" i="37"/>
  <c r="T93" i="37"/>
  <c r="Q93" i="37"/>
  <c r="T85" i="37"/>
  <c r="R85" i="37"/>
  <c r="S85" i="37"/>
  <c r="Q89" i="37"/>
  <c r="R86" i="37"/>
  <c r="S86" i="37"/>
  <c r="R87" i="37"/>
  <c r="Q86" i="37"/>
  <c r="S87" i="37"/>
  <c r="R88" i="37"/>
  <c r="Q88" i="37"/>
  <c r="T87" i="37"/>
  <c r="S89" i="37"/>
  <c r="T89" i="37"/>
  <c r="T88" i="37"/>
  <c r="L53" i="45" l="1"/>
  <c r="K53" i="45"/>
  <c r="D53" i="45"/>
  <c r="E53" i="45" s="1"/>
  <c r="C53" i="45"/>
  <c r="J53" i="45"/>
  <c r="L51" i="45"/>
  <c r="H50" i="45"/>
  <c r="I50" i="45" s="1"/>
  <c r="F50" i="45"/>
  <c r="G50" i="45" s="1"/>
  <c r="L49" i="45"/>
  <c r="K49" i="45"/>
  <c r="D49" i="45"/>
  <c r="E49" i="45" s="1"/>
  <c r="AN65" i="40" s="1"/>
  <c r="J49" i="45"/>
  <c r="H48" i="45"/>
  <c r="I48" i="45" s="1"/>
  <c r="F48" i="45"/>
  <c r="G48" i="45" s="1"/>
  <c r="K47" i="45"/>
  <c r="L47" i="45"/>
  <c r="H46" i="45"/>
  <c r="I46" i="45" s="1"/>
  <c r="F46" i="45"/>
  <c r="G46" i="45" s="1"/>
  <c r="L45" i="45"/>
  <c r="J45" i="45"/>
  <c r="L44" i="45"/>
  <c r="J44" i="45"/>
  <c r="K43" i="45"/>
  <c r="L43" i="45"/>
  <c r="L42" i="45"/>
  <c r="H41" i="45"/>
  <c r="I41" i="45" s="1"/>
  <c r="J40" i="45"/>
  <c r="K39" i="45"/>
  <c r="C39" i="45"/>
  <c r="L39" i="45"/>
  <c r="J38" i="45"/>
  <c r="K35" i="45"/>
  <c r="L35" i="45"/>
  <c r="H34" i="45"/>
  <c r="I34" i="45" s="1"/>
  <c r="F34" i="45"/>
  <c r="G34" i="45" s="1"/>
  <c r="J34" i="45"/>
  <c r="L33" i="45"/>
  <c r="K33" i="45"/>
  <c r="D33" i="45"/>
  <c r="E33" i="45" s="1"/>
  <c r="C33" i="45"/>
  <c r="J33" i="45"/>
  <c r="H32" i="45"/>
  <c r="I32" i="45" s="1"/>
  <c r="F32" i="45"/>
  <c r="G32" i="45" s="1"/>
  <c r="D32" i="45"/>
  <c r="E32" i="45" s="1"/>
  <c r="K31" i="45"/>
  <c r="C31" i="45"/>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AI42" i="40" s="1"/>
  <c r="C23" i="45"/>
  <c r="AI41" i="40" s="1"/>
  <c r="L24" i="45"/>
  <c r="D24" i="45"/>
  <c r="E24" i="45" s="1"/>
  <c r="AK49" i="40" s="1"/>
  <c r="J37" i="45"/>
  <c r="L37" i="45"/>
  <c r="K37" i="45"/>
  <c r="D37" i="45"/>
  <c r="E37" i="45" s="1"/>
  <c r="AL63" i="40" s="1"/>
  <c r="H59" i="45"/>
  <c r="I59" i="45" s="1"/>
  <c r="C59" i="45"/>
  <c r="J11" i="45"/>
  <c r="D11" i="45"/>
  <c r="E11" i="45" s="1"/>
  <c r="L11" i="45"/>
  <c r="C11" i="45"/>
  <c r="J19" i="45"/>
  <c r="H19" i="45"/>
  <c r="I19" i="45" s="1"/>
  <c r="D19" i="45"/>
  <c r="E19" i="45" s="1"/>
  <c r="AL36" i="40" s="1"/>
  <c r="F24" i="45"/>
  <c r="G24" i="45" s="1"/>
  <c r="C37" i="45"/>
  <c r="AL62" i="40" s="1"/>
  <c r="H38" i="45"/>
  <c r="I38" i="45" s="1"/>
  <c r="J57" i="45"/>
  <c r="L57" i="45"/>
  <c r="K57" i="45"/>
  <c r="D57" i="45"/>
  <c r="E57" i="45" s="1"/>
  <c r="C57" i="45"/>
  <c r="H11" i="45"/>
  <c r="I11" i="45" s="1"/>
  <c r="L18" i="45"/>
  <c r="K18" i="45"/>
  <c r="D18" i="45"/>
  <c r="E18" i="45" s="1"/>
  <c r="J18" i="45"/>
  <c r="C18" i="45"/>
  <c r="C19" i="45"/>
  <c r="AK35" i="40" s="1"/>
  <c r="H23" i="45"/>
  <c r="I23" i="45" s="1"/>
  <c r="J24" i="45"/>
  <c r="H37" i="45"/>
  <c r="I37" i="45" s="1"/>
  <c r="J41" i="45"/>
  <c r="L41" i="45"/>
  <c r="K41" i="45"/>
  <c r="D41" i="45"/>
  <c r="E41" i="45" s="1"/>
  <c r="H57" i="45"/>
  <c r="I57" i="45" s="1"/>
  <c r="K11" i="45"/>
  <c r="J17" i="45"/>
  <c r="F17" i="45"/>
  <c r="G17" i="45" s="1"/>
  <c r="F18" i="45"/>
  <c r="G18" i="45" s="1"/>
  <c r="K19" i="45"/>
  <c r="L23" i="45"/>
  <c r="J36" i="45"/>
  <c r="H36" i="45"/>
  <c r="I36" i="45" s="1"/>
  <c r="F36" i="45"/>
  <c r="G36" i="45" s="1"/>
  <c r="C41" i="45"/>
  <c r="H52" i="45"/>
  <c r="I52" i="45" s="1"/>
  <c r="F52" i="45"/>
  <c r="G52" i="45" s="1"/>
  <c r="L55" i="45"/>
  <c r="K55" i="45"/>
  <c r="C55" i="45"/>
  <c r="K58" i="45"/>
  <c r="L58" i="45"/>
  <c r="H58" i="45"/>
  <c r="I58" i="45" s="1"/>
  <c r="D58" i="45"/>
  <c r="E58" i="45" s="1"/>
  <c r="H45" i="45"/>
  <c r="I45" i="45" s="1"/>
  <c r="L46" i="45"/>
  <c r="L48" i="45"/>
  <c r="H15" i="45"/>
  <c r="I15" i="45" s="1"/>
  <c r="J16" i="45"/>
  <c r="H29" i="45"/>
  <c r="I29" i="45" s="1"/>
  <c r="L30" i="45"/>
  <c r="L32" i="45"/>
  <c r="D44" i="45"/>
  <c r="E44" i="45" s="1"/>
  <c r="C45" i="45"/>
  <c r="AK80" i="40" s="1"/>
  <c r="D46" i="45"/>
  <c r="E46" i="45" s="1"/>
  <c r="D48" i="45"/>
  <c r="E48" i="45" s="1"/>
  <c r="H49" i="45"/>
  <c r="I49" i="45" s="1"/>
  <c r="C51" i="45"/>
  <c r="C15" i="45"/>
  <c r="D16" i="45"/>
  <c r="E16" i="45" s="1"/>
  <c r="C29" i="45"/>
  <c r="H33" i="45"/>
  <c r="I33" i="45" s="1"/>
  <c r="C35" i="45"/>
  <c r="AL39" i="40" s="1"/>
  <c r="C43" i="45"/>
  <c r="AI90" i="40" s="1"/>
  <c r="D45" i="45"/>
  <c r="E45" i="45" s="1"/>
  <c r="AI81" i="40" s="1"/>
  <c r="K45" i="45"/>
  <c r="C47" i="45"/>
  <c r="C49" i="45"/>
  <c r="AN64" i="40" s="1"/>
  <c r="K51" i="45"/>
  <c r="H53" i="45"/>
  <c r="I53" i="45" s="1"/>
  <c r="K12" i="45"/>
  <c r="L21" i="45"/>
  <c r="H21" i="45"/>
  <c r="I21" i="45" s="1"/>
  <c r="D21" i="45"/>
  <c r="E21" i="45" s="1"/>
  <c r="L22" i="45"/>
  <c r="L27" i="45"/>
  <c r="H27" i="45"/>
  <c r="I27" i="45" s="1"/>
  <c r="D27" i="45"/>
  <c r="E27" i="45" s="1"/>
  <c r="K27" i="45"/>
  <c r="F27" i="45"/>
  <c r="G27" i="45" s="1"/>
  <c r="J27" i="45"/>
  <c r="K56" i="45"/>
  <c r="C56" i="45"/>
  <c r="F56" i="45"/>
  <c r="G56" i="45" s="1"/>
  <c r="L56" i="45"/>
  <c r="D56" i="45"/>
  <c r="E56" i="45" s="1"/>
  <c r="C13" i="45"/>
  <c r="C14" i="45"/>
  <c r="H14" i="45"/>
  <c r="I14" i="45" s="1"/>
  <c r="D26" i="45"/>
  <c r="E26" i="45" s="1"/>
  <c r="K42" i="45"/>
  <c r="C42" i="45"/>
  <c r="AK88" i="40" s="1"/>
  <c r="H42" i="45"/>
  <c r="I42" i="45" s="1"/>
  <c r="F42" i="45"/>
  <c r="G42" i="45" s="1"/>
  <c r="K54" i="45"/>
  <c r="C54" i="45"/>
  <c r="F54" i="45"/>
  <c r="G54" i="45" s="1"/>
  <c r="L54" i="45"/>
  <c r="D54" i="45"/>
  <c r="E54" i="45" s="1"/>
  <c r="H56" i="45"/>
  <c r="I56" i="45" s="1"/>
  <c r="J12" i="45"/>
  <c r="D14" i="45"/>
  <c r="E14" i="45" s="1"/>
  <c r="J14" i="45"/>
  <c r="K16" i="45"/>
  <c r="C16" i="45"/>
  <c r="H16" i="45"/>
  <c r="I16" i="45" s="1"/>
  <c r="L17" i="45"/>
  <c r="H17" i="45"/>
  <c r="I17" i="45" s="1"/>
  <c r="D17" i="45"/>
  <c r="E17" i="45" s="1"/>
  <c r="J21" i="45"/>
  <c r="D22" i="45"/>
  <c r="E22" i="45" s="1"/>
  <c r="J22" i="45"/>
  <c r="K24" i="45"/>
  <c r="C24" i="45"/>
  <c r="AK48" i="40" s="1"/>
  <c r="H24" i="45"/>
  <c r="I24" i="45" s="1"/>
  <c r="L25" i="45"/>
  <c r="H25" i="45"/>
  <c r="I25" i="45" s="1"/>
  <c r="D25" i="45"/>
  <c r="E25" i="45" s="1"/>
  <c r="K25" i="45"/>
  <c r="K40" i="45"/>
  <c r="C40" i="45"/>
  <c r="AK76" i="40" s="1"/>
  <c r="F40" i="45"/>
  <c r="G40" i="45" s="1"/>
  <c r="D40" i="45"/>
  <c r="E40" i="45" s="1"/>
  <c r="AL77" i="40" s="1"/>
  <c r="L40" i="45"/>
  <c r="D42" i="45"/>
  <c r="E42" i="45" s="1"/>
  <c r="AK89" i="40" s="1"/>
  <c r="K44" i="45"/>
  <c r="C44" i="45"/>
  <c r="H44" i="45"/>
  <c r="I44" i="45" s="1"/>
  <c r="F44" i="45"/>
  <c r="G44" i="45" s="1"/>
  <c r="H54" i="45"/>
  <c r="I54" i="45" s="1"/>
  <c r="J56"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C21" i="45"/>
  <c r="C22" i="45"/>
  <c r="H22" i="45"/>
  <c r="I22" i="45" s="1"/>
  <c r="C27" i="45"/>
  <c r="D28" i="45"/>
  <c r="E28" i="45" s="1"/>
  <c r="F12" i="45"/>
  <c r="L12" i="45"/>
  <c r="F13" i="45"/>
  <c r="G13" i="45" s="1"/>
  <c r="K13" i="45"/>
  <c r="F14" i="45"/>
  <c r="G14" i="45" s="1"/>
  <c r="F20" i="45"/>
  <c r="G20" i="45" s="1"/>
  <c r="L20" i="45"/>
  <c r="F21" i="45"/>
  <c r="G21" i="45" s="1"/>
  <c r="K21" i="45"/>
  <c r="F22" i="45"/>
  <c r="G22" i="45" s="1"/>
  <c r="L28" i="45"/>
  <c r="K38" i="45"/>
  <c r="C38" i="45"/>
  <c r="F38" i="45"/>
  <c r="G38" i="45" s="1"/>
  <c r="L38" i="45"/>
  <c r="D38" i="45"/>
  <c r="E38" i="45" s="1"/>
  <c r="H40" i="45"/>
  <c r="I40" i="45" s="1"/>
  <c r="J42" i="45"/>
  <c r="J54" i="45"/>
  <c r="K52" i="45"/>
  <c r="C52" i="45"/>
  <c r="K34" i="45"/>
  <c r="C34" i="45"/>
  <c r="AI37" i="40" s="1"/>
  <c r="K36" i="45"/>
  <c r="C36" i="45"/>
  <c r="AK60" i="40" s="1"/>
  <c r="K50" i="45"/>
  <c r="C50" i="45"/>
  <c r="J50" i="45"/>
  <c r="J52" i="45"/>
  <c r="F11" i="45"/>
  <c r="G11" i="45" s="1"/>
  <c r="F15" i="45"/>
  <c r="G15" i="45" s="1"/>
  <c r="F19" i="45"/>
  <c r="G19" i="45" s="1"/>
  <c r="G23" i="45"/>
  <c r="K30" i="45"/>
  <c r="C30" i="45"/>
  <c r="J30" i="45"/>
  <c r="K32" i="45"/>
  <c r="C32" i="45"/>
  <c r="J32" i="45"/>
  <c r="D34" i="45"/>
  <c r="E34" i="45" s="1"/>
  <c r="AK38" i="40" s="1"/>
  <c r="L34" i="45"/>
  <c r="D36" i="45"/>
  <c r="E36" i="45" s="1"/>
  <c r="AI61" i="40" s="1"/>
  <c r="L36" i="45"/>
  <c r="K46" i="45"/>
  <c r="C46" i="45"/>
  <c r="J46" i="45"/>
  <c r="K48" i="45"/>
  <c r="C48" i="45"/>
  <c r="J48" i="45"/>
  <c r="D50" i="45"/>
  <c r="E50" i="45" s="1"/>
  <c r="L50" i="45"/>
  <c r="D52" i="45"/>
  <c r="E52" i="45" s="1"/>
  <c r="L52" i="45"/>
  <c r="F31" i="45"/>
  <c r="G31" i="45" s="1"/>
  <c r="J31" i="45"/>
  <c r="F35" i="45"/>
  <c r="G35" i="45" s="1"/>
  <c r="J35" i="45"/>
  <c r="F39" i="45"/>
  <c r="G39" i="45" s="1"/>
  <c r="J39" i="45"/>
  <c r="F43" i="45"/>
  <c r="G43" i="45" s="1"/>
  <c r="J43" i="45"/>
  <c r="F47" i="45"/>
  <c r="G47" i="45" s="1"/>
  <c r="J47" i="45"/>
  <c r="F51" i="45"/>
  <c r="G51" i="45" s="1"/>
  <c r="J51" i="45"/>
  <c r="F55" i="45"/>
  <c r="G55" i="45" s="1"/>
  <c r="J55" i="45"/>
  <c r="F59" i="45"/>
  <c r="G59" i="45" s="1"/>
  <c r="F58" i="45"/>
  <c r="G58" i="45" s="1"/>
  <c r="J58" i="45"/>
  <c r="F29" i="45"/>
  <c r="G29" i="45" s="1"/>
  <c r="D31" i="45"/>
  <c r="E31" i="45" s="1"/>
  <c r="AI55" i="40" s="1"/>
  <c r="H31" i="45"/>
  <c r="I31" i="45" s="1"/>
  <c r="F33" i="45"/>
  <c r="G33" i="45" s="1"/>
  <c r="D35" i="45"/>
  <c r="E35" i="45" s="1"/>
  <c r="AI40" i="40" s="1"/>
  <c r="H35" i="45"/>
  <c r="I35" i="45" s="1"/>
  <c r="F37" i="45"/>
  <c r="G37" i="45" s="1"/>
  <c r="D39" i="45"/>
  <c r="E39" i="45" s="1"/>
  <c r="AL73" i="40" s="1"/>
  <c r="H39" i="45"/>
  <c r="I39" i="45" s="1"/>
  <c r="F41" i="45"/>
  <c r="G41" i="45" s="1"/>
  <c r="D43" i="45"/>
  <c r="E43" i="45" s="1"/>
  <c r="AI91" i="40" s="1"/>
  <c r="H43" i="45"/>
  <c r="I43" i="45" s="1"/>
  <c r="F45" i="45"/>
  <c r="G45" i="45" s="1"/>
  <c r="D47" i="45"/>
  <c r="E47" i="45" s="1"/>
  <c r="H47" i="45"/>
  <c r="I47" i="45" s="1"/>
  <c r="F49" i="45"/>
  <c r="G49" i="45" s="1"/>
  <c r="D51" i="45"/>
  <c r="E51" i="45" s="1"/>
  <c r="H51" i="45"/>
  <c r="I51" i="45" s="1"/>
  <c r="F53" i="45"/>
  <c r="G53" i="45" s="1"/>
  <c r="D55" i="45"/>
  <c r="E55" i="45" s="1"/>
  <c r="H55" i="45"/>
  <c r="I55" i="45" s="1"/>
  <c r="F57" i="45"/>
  <c r="G57" i="45" s="1"/>
  <c r="C58" i="45"/>
  <c r="D59" i="45"/>
  <c r="E59" i="45" s="1"/>
  <c r="F37" i="39"/>
  <c r="G327" i="40" s="1"/>
  <c r="B327" i="40"/>
  <c r="B326" i="40"/>
  <c r="AG226" i="40"/>
  <c r="AG227" i="40"/>
  <c r="AG228" i="40"/>
  <c r="AG229" i="40"/>
  <c r="AG230" i="40"/>
  <c r="G306" i="40"/>
  <c r="AG306" i="40" s="1"/>
  <c r="J37" i="39"/>
  <c r="G344" i="40" s="1"/>
  <c r="AG344" i="40" s="1"/>
  <c r="B344" i="40"/>
  <c r="V307" i="40"/>
  <c r="G307" i="40"/>
  <c r="B307" i="40"/>
  <c r="E37" i="39"/>
  <c r="K3" i="4"/>
  <c r="K4" i="4"/>
  <c r="K2" i="4"/>
  <c r="I4" i="9"/>
  <c r="B2" i="46"/>
  <c r="E2" i="40"/>
  <c r="A2" i="22"/>
  <c r="B14" i="22"/>
  <c r="A11" i="22"/>
  <c r="AG254" i="40"/>
  <c r="V254" i="40"/>
  <c r="W254" i="40" s="1"/>
  <c r="AG253" i="40"/>
  <c r="V253" i="40"/>
  <c r="W253" i="40" s="1"/>
  <c r="AG252" i="40"/>
  <c r="V252" i="40"/>
  <c r="W252" i="40" s="1"/>
  <c r="AG251" i="40"/>
  <c r="V251" i="40"/>
  <c r="W251" i="40" s="1"/>
  <c r="AG250" i="40"/>
  <c r="V250" i="40"/>
  <c r="W250" i="40" s="1"/>
  <c r="AG249" i="40"/>
  <c r="V249" i="40"/>
  <c r="W249" i="40" s="1"/>
  <c r="AG248" i="40"/>
  <c r="V248" i="40"/>
  <c r="W248" i="40" s="1"/>
  <c r="AG247" i="40"/>
  <c r="V247" i="40"/>
  <c r="W247" i="40" s="1"/>
  <c r="AG246" i="40"/>
  <c r="V246" i="40"/>
  <c r="W246" i="40" s="1"/>
  <c r="AG245" i="40"/>
  <c r="V245" i="40"/>
  <c r="W245" i="40" s="1"/>
  <c r="AG244" i="40"/>
  <c r="V244" i="40"/>
  <c r="W244" i="40" s="1"/>
  <c r="V159" i="40"/>
  <c r="G159" i="40"/>
  <c r="B84" i="53" s="1"/>
  <c r="V158" i="40"/>
  <c r="G158" i="40"/>
  <c r="B83" i="53" s="1"/>
  <c r="V157" i="40"/>
  <c r="G157" i="40"/>
  <c r="B82" i="53" s="1"/>
  <c r="V156" i="40"/>
  <c r="G156" i="40"/>
  <c r="B81" i="53" s="1"/>
  <c r="V155" i="40"/>
  <c r="G155" i="40"/>
  <c r="B80" i="53" s="1"/>
  <c r="M69" i="37"/>
  <c r="U69" i="37"/>
  <c r="M70" i="37"/>
  <c r="U70" i="37"/>
  <c r="M71" i="37"/>
  <c r="U71" i="37"/>
  <c r="M72" i="37"/>
  <c r="U72" i="37"/>
  <c r="M73" i="37"/>
  <c r="U73" i="37"/>
  <c r="M74" i="37"/>
  <c r="U74" i="37"/>
  <c r="M75" i="37"/>
  <c r="U75" i="37"/>
  <c r="U76" i="37"/>
  <c r="M77" i="37"/>
  <c r="U77" i="37"/>
  <c r="M78" i="37"/>
  <c r="U78" i="37"/>
  <c r="M79" i="37"/>
  <c r="U79" i="37"/>
  <c r="G149" i="40"/>
  <c r="B74" i="53" s="1"/>
  <c r="V144" i="40"/>
  <c r="V145" i="40"/>
  <c r="V146" i="40"/>
  <c r="V147" i="40"/>
  <c r="V148" i="40"/>
  <c r="V150" i="40"/>
  <c r="V151" i="40"/>
  <c r="V152" i="40"/>
  <c r="V153" i="40"/>
  <c r="V154" i="40"/>
  <c r="G154" i="40"/>
  <c r="B79" i="53" s="1"/>
  <c r="G153" i="40"/>
  <c r="B78" i="53" s="1"/>
  <c r="G152" i="40"/>
  <c r="B77" i="53" s="1"/>
  <c r="G151" i="40"/>
  <c r="B76" i="53" s="1"/>
  <c r="G150" i="40"/>
  <c r="B75" i="53" s="1"/>
  <c r="G148" i="40"/>
  <c r="B73" i="53" s="1"/>
  <c r="G147" i="40"/>
  <c r="B72" i="53" s="1"/>
  <c r="G146" i="40"/>
  <c r="B71" i="53" s="1"/>
  <c r="G145" i="40"/>
  <c r="B70" i="53" s="1"/>
  <c r="G144" i="40"/>
  <c r="B69" i="53" s="1"/>
  <c r="U9" i="37"/>
  <c r="E50" i="46"/>
  <c r="E47" i="46"/>
  <c r="E46" i="46"/>
  <c r="D74" i="10"/>
  <c r="A71" i="10"/>
  <c r="A72" i="10"/>
  <c r="A73" i="10"/>
  <c r="A74" i="10"/>
  <c r="A70" i="10"/>
  <c r="F47" i="22"/>
  <c r="A1" i="46"/>
  <c r="AE206" i="40"/>
  <c r="AF206" i="40"/>
  <c r="AD206" i="40"/>
  <c r="Y206" i="40"/>
  <c r="X206" i="40"/>
  <c r="U206" i="40"/>
  <c r="T206" i="40"/>
  <c r="P206" i="40"/>
  <c r="O206" i="40"/>
  <c r="C351" i="40"/>
  <c r="C335" i="40"/>
  <c r="B27" i="40"/>
  <c r="V402" i="40"/>
  <c r="W402" i="40" s="1"/>
  <c r="W379" i="40"/>
  <c r="G380" i="40"/>
  <c r="AG380" i="40" s="1"/>
  <c r="G385" i="40"/>
  <c r="AG385" i="40" s="1"/>
  <c r="AG379" i="40"/>
  <c r="V230" i="40"/>
  <c r="W230" i="40" s="1"/>
  <c r="V229" i="40"/>
  <c r="W229" i="40" s="1"/>
  <c r="V74" i="40"/>
  <c r="V62" i="40"/>
  <c r="V94" i="40"/>
  <c r="V110" i="40"/>
  <c r="V108" i="40"/>
  <c r="V106" i="40"/>
  <c r="V37" i="40"/>
  <c r="V35" i="40"/>
  <c r="V29" i="40"/>
  <c r="C8" i="10"/>
  <c r="K8" i="10" s="1"/>
  <c r="K4" i="10" s="1"/>
  <c r="A10" i="10"/>
  <c r="A9" i="10"/>
  <c r="A8" i="10"/>
  <c r="A11" i="10"/>
  <c r="B384" i="40"/>
  <c r="B383" i="40"/>
  <c r="B382" i="40"/>
  <c r="B381" i="40"/>
  <c r="B391" i="40"/>
  <c r="B390" i="40"/>
  <c r="B389" i="40"/>
  <c r="B388" i="40"/>
  <c r="B387" i="40"/>
  <c r="B386" i="40"/>
  <c r="B395" i="40"/>
  <c r="B394" i="40"/>
  <c r="B393" i="40"/>
  <c r="B379" i="40"/>
  <c r="G371" i="40"/>
  <c r="B371" i="40"/>
  <c r="B375" i="40"/>
  <c r="AG402" i="40"/>
  <c r="B402" i="40"/>
  <c r="E5" i="4"/>
  <c r="F8" i="2"/>
  <c r="F9" i="2"/>
  <c r="F10" i="2"/>
  <c r="F11" i="2"/>
  <c r="F12" i="2"/>
  <c r="F13" i="2"/>
  <c r="F14" i="2"/>
  <c r="F15" i="2"/>
  <c r="F16" i="2"/>
  <c r="E16" i="2"/>
  <c r="E15" i="2"/>
  <c r="E14" i="2"/>
  <c r="E13" i="2"/>
  <c r="E12" i="2"/>
  <c r="E11" i="2"/>
  <c r="E10" i="2"/>
  <c r="E9" i="2"/>
  <c r="E8" i="2"/>
  <c r="L3" i="2"/>
  <c r="C355" i="40"/>
  <c r="C358" i="40"/>
  <c r="C314" i="40"/>
  <c r="C291" i="40"/>
  <c r="C133" i="40"/>
  <c r="C206" i="40" s="1"/>
  <c r="Q62" i="26"/>
  <c r="AD222" i="40"/>
  <c r="AF222" i="40"/>
  <c r="AE336" i="40"/>
  <c r="AE348" i="40" s="1"/>
  <c r="X10" i="2" s="1"/>
  <c r="E8" i="54" s="1"/>
  <c r="AF336" i="40"/>
  <c r="AF348" i="40" s="1"/>
  <c r="Z10" i="2" s="1"/>
  <c r="F8" i="54" s="1"/>
  <c r="V228" i="40"/>
  <c r="W228" i="40" s="1"/>
  <c r="V227" i="40"/>
  <c r="W227" i="40" s="1"/>
  <c r="V226" i="40"/>
  <c r="W226" i="40" s="1"/>
  <c r="V225" i="40"/>
  <c r="F5" i="2"/>
  <c r="E5" i="2"/>
  <c r="F131" i="40"/>
  <c r="F130" i="40"/>
  <c r="F129" i="40"/>
  <c r="F128" i="40"/>
  <c r="F127" i="40"/>
  <c r="F126" i="40"/>
  <c r="F125" i="40"/>
  <c r="F124" i="40"/>
  <c r="F123" i="40"/>
  <c r="F122" i="40"/>
  <c r="F121" i="40"/>
  <c r="F120" i="40"/>
  <c r="F119" i="40"/>
  <c r="F118" i="40"/>
  <c r="F117" i="40"/>
  <c r="F116" i="40"/>
  <c r="F115" i="40"/>
  <c r="F114" i="40"/>
  <c r="F113" i="40"/>
  <c r="F112" i="40"/>
  <c r="F111" i="40"/>
  <c r="F110" i="40"/>
  <c r="F109" i="40"/>
  <c r="F108" i="40"/>
  <c r="F107" i="40"/>
  <c r="F106" i="40"/>
  <c r="F105" i="40"/>
  <c r="F104" i="40"/>
  <c r="F103" i="40"/>
  <c r="F102" i="40"/>
  <c r="F101" i="40"/>
  <c r="F100" i="40"/>
  <c r="F99" i="40"/>
  <c r="F98" i="40"/>
  <c r="F97" i="40"/>
  <c r="F96" i="40"/>
  <c r="F95" i="40"/>
  <c r="F94" i="40"/>
  <c r="F93" i="40"/>
  <c r="F92" i="40"/>
  <c r="F91" i="40"/>
  <c r="F90" i="40"/>
  <c r="F87" i="40"/>
  <c r="F86" i="40"/>
  <c r="F85" i="40"/>
  <c r="F84" i="40"/>
  <c r="F83" i="40"/>
  <c r="F82" i="40"/>
  <c r="F81" i="40"/>
  <c r="F80" i="40"/>
  <c r="F88" i="40"/>
  <c r="F89"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C28" i="40"/>
  <c r="F44" i="40"/>
  <c r="F43" i="40"/>
  <c r="F42" i="40"/>
  <c r="F41" i="40"/>
  <c r="F40" i="40"/>
  <c r="F39" i="40"/>
  <c r="F38" i="40"/>
  <c r="F37" i="40"/>
  <c r="F36" i="40"/>
  <c r="F35" i="40"/>
  <c r="F34" i="40"/>
  <c r="F33" i="40"/>
  <c r="F29" i="40"/>
  <c r="F31" i="40"/>
  <c r="U46" i="37"/>
  <c r="E46" i="37"/>
  <c r="G46" i="37" s="1"/>
  <c r="U45" i="37"/>
  <c r="E45" i="37"/>
  <c r="G45" i="37" s="1"/>
  <c r="U44" i="37"/>
  <c r="U38" i="37"/>
  <c r="U29" i="37"/>
  <c r="U28" i="37"/>
  <c r="A28" i="37"/>
  <c r="U22" i="37"/>
  <c r="A22" i="37"/>
  <c r="U5" i="37"/>
  <c r="B40" i="40"/>
  <c r="B39" i="40"/>
  <c r="B38" i="40"/>
  <c r="B37" i="40"/>
  <c r="G37" i="40"/>
  <c r="B111" i="40"/>
  <c r="G110" i="40"/>
  <c r="B110" i="40"/>
  <c r="B109" i="40"/>
  <c r="G108" i="40"/>
  <c r="B108" i="40"/>
  <c r="B107" i="40"/>
  <c r="G106" i="40"/>
  <c r="B106" i="40"/>
  <c r="AI96" i="40"/>
  <c r="AI97" i="40"/>
  <c r="G94" i="40"/>
  <c r="B95" i="40"/>
  <c r="B94" i="40"/>
  <c r="B228" i="40"/>
  <c r="B229" i="40"/>
  <c r="G74" i="40"/>
  <c r="AK72" i="40"/>
  <c r="B77" i="40"/>
  <c r="V76" i="40"/>
  <c r="G76" i="40"/>
  <c r="B76" i="40"/>
  <c r="B75" i="40"/>
  <c r="G62" i="40"/>
  <c r="B230" i="40"/>
  <c r="AK54" i="40"/>
  <c r="F30" i="40"/>
  <c r="B30" i="40"/>
  <c r="B29" i="40"/>
  <c r="G29" i="40"/>
  <c r="N19" i="2"/>
  <c r="O19" i="2" s="1"/>
  <c r="N20" i="2"/>
  <c r="O20" i="2" s="1"/>
  <c r="N18" i="2"/>
  <c r="P16" i="2"/>
  <c r="P445" i="40"/>
  <c r="H16" i="2" s="1"/>
  <c r="P435" i="40"/>
  <c r="H15" i="2" s="1"/>
  <c r="X435" i="40"/>
  <c r="P15" i="2" s="1"/>
  <c r="P418" i="40"/>
  <c r="H14" i="2" s="1"/>
  <c r="X418" i="40"/>
  <c r="P14" i="2" s="1"/>
  <c r="P410" i="40"/>
  <c r="H13" i="2" s="1"/>
  <c r="X410" i="40"/>
  <c r="P13" i="2" s="1"/>
  <c r="P397" i="40"/>
  <c r="H12" i="2" s="1"/>
  <c r="X397" i="40"/>
  <c r="P12" i="2" s="1"/>
  <c r="P367" i="40"/>
  <c r="H11" i="2" s="1"/>
  <c r="X367" i="40"/>
  <c r="P11" i="2" s="1"/>
  <c r="P348" i="40"/>
  <c r="H10" i="2" s="1"/>
  <c r="X348" i="40"/>
  <c r="P10" i="2" s="1"/>
  <c r="P332" i="40"/>
  <c r="H9" i="2" s="1"/>
  <c r="X332" i="40"/>
  <c r="P9" i="2" s="1"/>
  <c r="P310" i="40"/>
  <c r="H8" i="2" s="1"/>
  <c r="X310" i="40"/>
  <c r="P8" i="2" s="1"/>
  <c r="V234" i="40"/>
  <c r="W234" i="40" s="1"/>
  <c r="V235" i="40"/>
  <c r="W235" i="40" s="1"/>
  <c r="V236" i="40"/>
  <c r="W236" i="40" s="1"/>
  <c r="V237" i="40"/>
  <c r="W237" i="40" s="1"/>
  <c r="V238" i="40"/>
  <c r="W238" i="40" s="1"/>
  <c r="X218" i="40"/>
  <c r="P218" i="40"/>
  <c r="X24" i="40"/>
  <c r="P6" i="2" s="1"/>
  <c r="X8" i="40"/>
  <c r="P5" i="2" s="1"/>
  <c r="P8" i="40"/>
  <c r="H5" i="2" s="1"/>
  <c r="P24" i="40"/>
  <c r="H6" i="2" s="1"/>
  <c r="A1" i="36"/>
  <c r="A1" i="2"/>
  <c r="V433" i="40"/>
  <c r="W433" i="40" s="1"/>
  <c r="Y218" i="40"/>
  <c r="O218" i="40"/>
  <c r="V143" i="40"/>
  <c r="V142" i="40"/>
  <c r="V141" i="40"/>
  <c r="V140" i="40"/>
  <c r="V139" i="40"/>
  <c r="V138" i="40"/>
  <c r="V137" i="40"/>
  <c r="V136" i="40"/>
  <c r="V135" i="40"/>
  <c r="V134" i="40"/>
  <c r="O435" i="40"/>
  <c r="G15" i="2" s="1"/>
  <c r="Y435" i="40"/>
  <c r="Q15" i="2" s="1"/>
  <c r="Y445" i="40"/>
  <c r="Q16" i="2" s="1"/>
  <c r="Y418" i="40"/>
  <c r="Q14" i="2" s="1"/>
  <c r="Y410" i="40"/>
  <c r="Q13" i="2" s="1"/>
  <c r="Y397" i="40"/>
  <c r="Q12" i="2" s="1"/>
  <c r="Y367" i="40"/>
  <c r="Q11" i="2" s="1"/>
  <c r="Y348" i="40"/>
  <c r="Q10" i="2" s="1"/>
  <c r="Y332" i="40"/>
  <c r="Q9" i="2" s="1"/>
  <c r="Y310" i="40"/>
  <c r="Q8" i="2" s="1"/>
  <c r="Y24" i="40"/>
  <c r="Q6" i="2" s="1"/>
  <c r="Y8" i="40"/>
  <c r="Q5" i="2" s="1"/>
  <c r="V395" i="40"/>
  <c r="W395" i="40" s="1"/>
  <c r="V394" i="40"/>
  <c r="W394" i="40" s="1"/>
  <c r="AG395" i="40"/>
  <c r="AG394" i="40"/>
  <c r="AG234" i="40"/>
  <c r="AG235" i="40"/>
  <c r="AG236" i="40"/>
  <c r="AG237" i="40"/>
  <c r="AG238" i="40"/>
  <c r="V60" i="40"/>
  <c r="O445" i="40"/>
  <c r="G16" i="2" s="1"/>
  <c r="O418" i="40"/>
  <c r="G14" i="2" s="1"/>
  <c r="O410" i="40"/>
  <c r="G13" i="2" s="1"/>
  <c r="O397" i="40"/>
  <c r="G12" i="2" s="1"/>
  <c r="O367" i="40"/>
  <c r="G11" i="2" s="1"/>
  <c r="O348" i="40"/>
  <c r="G10" i="2" s="1"/>
  <c r="O332" i="40"/>
  <c r="G9" i="2" s="1"/>
  <c r="O310" i="40"/>
  <c r="G8" i="2" s="1"/>
  <c r="O8" i="40"/>
  <c r="G5" i="2" s="1"/>
  <c r="O24" i="40"/>
  <c r="G6" i="2" s="1"/>
  <c r="A9" i="22"/>
  <c r="U60" i="37"/>
  <c r="M61" i="37"/>
  <c r="U61" i="37"/>
  <c r="U62" i="37"/>
  <c r="M63" i="37"/>
  <c r="U63" i="37"/>
  <c r="M64" i="37"/>
  <c r="U64" i="37"/>
  <c r="M65" i="37"/>
  <c r="U65" i="37"/>
  <c r="U66" i="37"/>
  <c r="U67" i="37"/>
  <c r="U68" i="37"/>
  <c r="A60" i="37"/>
  <c r="A61" i="37"/>
  <c r="A62" i="37"/>
  <c r="A63" i="37"/>
  <c r="A64" i="37"/>
  <c r="A65" i="37"/>
  <c r="A66" i="37"/>
  <c r="A67" i="37"/>
  <c r="A68" i="37"/>
  <c r="U59" i="37"/>
  <c r="G143" i="40"/>
  <c r="B68" i="53" s="1"/>
  <c r="G142" i="40"/>
  <c r="B67" i="53" s="1"/>
  <c r="G141" i="40"/>
  <c r="B66" i="53" s="1"/>
  <c r="G140" i="40"/>
  <c r="B65" i="53" s="1"/>
  <c r="G139" i="40"/>
  <c r="G138" i="40"/>
  <c r="G137" i="40"/>
  <c r="G136" i="40"/>
  <c r="G135" i="40"/>
  <c r="M68" i="37"/>
  <c r="A14" i="10"/>
  <c r="U21" i="37"/>
  <c r="A21" i="37"/>
  <c r="Q2" i="26"/>
  <c r="G60" i="40"/>
  <c r="V17" i="40"/>
  <c r="W17" i="40" s="1"/>
  <c r="U6" i="37"/>
  <c r="U7" i="37"/>
  <c r="U8" i="37"/>
  <c r="U10" i="37"/>
  <c r="U11" i="37"/>
  <c r="U12" i="37"/>
  <c r="U13" i="37"/>
  <c r="U14" i="37"/>
  <c r="U15" i="37"/>
  <c r="U16" i="37"/>
  <c r="U17" i="37"/>
  <c r="U18" i="37"/>
  <c r="U19" i="37"/>
  <c r="U20" i="37"/>
  <c r="U23" i="37"/>
  <c r="U24" i="37"/>
  <c r="U25" i="37"/>
  <c r="U26" i="37"/>
  <c r="U27" i="37"/>
  <c r="U30" i="37"/>
  <c r="U31" i="37"/>
  <c r="U32" i="37"/>
  <c r="U33" i="37"/>
  <c r="U34" i="37"/>
  <c r="U35" i="37"/>
  <c r="U36" i="37"/>
  <c r="U37" i="37"/>
  <c r="U39" i="37"/>
  <c r="U40" i="37"/>
  <c r="U41" i="37"/>
  <c r="U42" i="37"/>
  <c r="U43" i="37"/>
  <c r="U47" i="37"/>
  <c r="U48" i="37"/>
  <c r="U49" i="37"/>
  <c r="U50" i="37"/>
  <c r="U51" i="37"/>
  <c r="U52" i="37"/>
  <c r="U53" i="37"/>
  <c r="U54" i="37"/>
  <c r="U55" i="37"/>
  <c r="U56" i="37"/>
  <c r="L4" i="26"/>
  <c r="L5" i="26"/>
  <c r="L6" i="26"/>
  <c r="L7" i="26"/>
  <c r="L8" i="26"/>
  <c r="L9" i="26"/>
  <c r="L10" i="26"/>
  <c r="L11" i="26"/>
  <c r="L12" i="26"/>
  <c r="L13" i="26"/>
  <c r="L14" i="26"/>
  <c r="L15" i="26"/>
  <c r="L16" i="26"/>
  <c r="L17" i="26"/>
  <c r="L18" i="26"/>
  <c r="L19" i="26"/>
  <c r="L20" i="26"/>
  <c r="L21" i="26"/>
  <c r="L22" i="26"/>
  <c r="L23" i="26"/>
  <c r="L24" i="26"/>
  <c r="L25" i="26"/>
  <c r="L26" i="26"/>
  <c r="L27" i="26"/>
  <c r="L28" i="26"/>
  <c r="L29" i="26"/>
  <c r="L50" i="26"/>
  <c r="L51" i="26"/>
  <c r="L52" i="26"/>
  <c r="L53" i="26"/>
  <c r="V217" i="40"/>
  <c r="G33" i="40"/>
  <c r="G35" i="40"/>
  <c r="G39" i="40"/>
  <c r="G41" i="40"/>
  <c r="AG41" i="40" s="1"/>
  <c r="G43" i="40"/>
  <c r="G45" i="40"/>
  <c r="G46" i="40"/>
  <c r="G48" i="40"/>
  <c r="G50" i="40"/>
  <c r="G52" i="40"/>
  <c r="G54" i="40"/>
  <c r="G56" i="40"/>
  <c r="G58" i="40"/>
  <c r="G64" i="40"/>
  <c r="G66" i="40"/>
  <c r="G68" i="40"/>
  <c r="G70" i="40"/>
  <c r="G72" i="40"/>
  <c r="G78" i="40"/>
  <c r="G80" i="40"/>
  <c r="G82" i="40"/>
  <c r="G84" i="40"/>
  <c r="G86" i="40"/>
  <c r="G88" i="40"/>
  <c r="G90" i="40"/>
  <c r="G92" i="40"/>
  <c r="G96" i="40"/>
  <c r="G98" i="40"/>
  <c r="G100" i="40"/>
  <c r="G102" i="40"/>
  <c r="G104" i="40"/>
  <c r="G112" i="40"/>
  <c r="G114" i="40"/>
  <c r="G116" i="40"/>
  <c r="G118" i="40"/>
  <c r="G120" i="40"/>
  <c r="G122" i="40"/>
  <c r="G124" i="40"/>
  <c r="G126" i="40"/>
  <c r="G128" i="40"/>
  <c r="G130" i="40"/>
  <c r="V216" i="40"/>
  <c r="V215" i="40"/>
  <c r="V214" i="40"/>
  <c r="V213" i="40"/>
  <c r="M37" i="37"/>
  <c r="M47" i="37"/>
  <c r="C6" i="4"/>
  <c r="V212" i="40"/>
  <c r="V231" i="40"/>
  <c r="W231" i="40" s="1"/>
  <c r="V239" i="40"/>
  <c r="W239" i="40" s="1"/>
  <c r="V240" i="40"/>
  <c r="W240" i="40" s="1"/>
  <c r="V241" i="40"/>
  <c r="W241" i="40" s="1"/>
  <c r="V242" i="40"/>
  <c r="W242" i="40" s="1"/>
  <c r="V243" i="40"/>
  <c r="W243" i="40" s="1"/>
  <c r="B31" i="40"/>
  <c r="B62" i="26"/>
  <c r="B60" i="26"/>
  <c r="B59" i="26"/>
  <c r="G2" i="10"/>
  <c r="F2" i="10"/>
  <c r="F1" i="10"/>
  <c r="A67" i="10"/>
  <c r="A64" i="10"/>
  <c r="A62" i="10"/>
  <c r="A61" i="10"/>
  <c r="A60" i="10"/>
  <c r="A59" i="10"/>
  <c r="A58" i="10"/>
  <c r="A57" i="10"/>
  <c r="A53" i="10"/>
  <c r="A51" i="10"/>
  <c r="A50" i="10"/>
  <c r="A49" i="10"/>
  <c r="A48" i="10"/>
  <c r="A47" i="10"/>
  <c r="A46" i="10"/>
  <c r="A42" i="10"/>
  <c r="A40" i="10"/>
  <c r="A39" i="10"/>
  <c r="A38" i="10"/>
  <c r="A37" i="10"/>
  <c r="A36" i="10"/>
  <c r="A35" i="10"/>
  <c r="A29" i="10"/>
  <c r="A16" i="10"/>
  <c r="A15" i="10"/>
  <c r="A13" i="10"/>
  <c r="A7" i="10"/>
  <c r="A6" i="10"/>
  <c r="A5" i="10"/>
  <c r="A2" i="10"/>
  <c r="D19" i="9"/>
  <c r="D14" i="9"/>
  <c r="F46" i="9"/>
  <c r="F47" i="9"/>
  <c r="F48" i="9"/>
  <c r="F49" i="9"/>
  <c r="F50" i="9"/>
  <c r="F51" i="9"/>
  <c r="F52" i="9"/>
  <c r="F45" i="9"/>
  <c r="D33" i="9"/>
  <c r="D34" i="9"/>
  <c r="D32" i="9"/>
  <c r="H52" i="9"/>
  <c r="H51" i="9"/>
  <c r="H50" i="9"/>
  <c r="H49" i="9"/>
  <c r="H48" i="9"/>
  <c r="H47" i="9"/>
  <c r="H46" i="9"/>
  <c r="H45" i="9"/>
  <c r="H33" i="9"/>
  <c r="H34" i="9"/>
  <c r="H32" i="9"/>
  <c r="H19" i="9"/>
  <c r="H14" i="9"/>
  <c r="H8" i="9"/>
  <c r="H9" i="9"/>
  <c r="H7" i="9"/>
  <c r="B58" i="9"/>
  <c r="B56" i="9"/>
  <c r="B55" i="9"/>
  <c r="B50" i="9"/>
  <c r="B49" i="9"/>
  <c r="B48" i="9"/>
  <c r="B47" i="9"/>
  <c r="B46" i="9"/>
  <c r="B45" i="9"/>
  <c r="B43" i="9"/>
  <c r="B41" i="9"/>
  <c r="B39" i="9"/>
  <c r="B38" i="9"/>
  <c r="B37" i="9"/>
  <c r="B36" i="9"/>
  <c r="B34" i="9"/>
  <c r="B33" i="9"/>
  <c r="B32" i="9"/>
  <c r="B28" i="9"/>
  <c r="B27" i="9"/>
  <c r="B25" i="9"/>
  <c r="B23" i="9"/>
  <c r="B21" i="9"/>
  <c r="B19" i="9"/>
  <c r="B18" i="9"/>
  <c r="B17" i="9"/>
  <c r="B16" i="9"/>
  <c r="B14" i="9"/>
  <c r="B13" i="9"/>
  <c r="B12" i="9"/>
  <c r="B11" i="9"/>
  <c r="B9" i="9"/>
  <c r="B8" i="9"/>
  <c r="B7" i="9"/>
  <c r="B6" i="9"/>
  <c r="A2" i="9"/>
  <c r="B4" i="9"/>
  <c r="B55" i="26"/>
  <c r="M1" i="26"/>
  <c r="L1" i="26"/>
  <c r="K1" i="26"/>
  <c r="G1" i="26"/>
  <c r="O1" i="26"/>
  <c r="V1" i="26"/>
  <c r="O2" i="26"/>
  <c r="F2" i="26"/>
  <c r="E2" i="26"/>
  <c r="D2" i="26"/>
  <c r="B3" i="26"/>
  <c r="AD336" i="40"/>
  <c r="AD348" i="40" s="1"/>
  <c r="V10" i="2" s="1"/>
  <c r="D8" i="54" s="1"/>
  <c r="U2" i="37"/>
  <c r="T2" i="37"/>
  <c r="Q2" i="37"/>
  <c r="M2" i="37"/>
  <c r="L2" i="37"/>
  <c r="I2" i="37"/>
  <c r="W2" i="37"/>
  <c r="K2" i="37"/>
  <c r="J2" i="37"/>
  <c r="V2" i="37"/>
  <c r="M1" i="37"/>
  <c r="A1" i="37"/>
  <c r="B130" i="40"/>
  <c r="B128" i="40"/>
  <c r="B126" i="40"/>
  <c r="B124" i="40"/>
  <c r="B122" i="40"/>
  <c r="B120" i="40"/>
  <c r="B118" i="40"/>
  <c r="B116" i="40"/>
  <c r="B114" i="40"/>
  <c r="B112" i="40"/>
  <c r="B104" i="40"/>
  <c r="B102" i="40"/>
  <c r="B100" i="40"/>
  <c r="B98" i="40"/>
  <c r="B96" i="40"/>
  <c r="B92" i="40"/>
  <c r="B90" i="40"/>
  <c r="B88" i="40"/>
  <c r="B86" i="40"/>
  <c r="B84" i="40"/>
  <c r="B82" i="40"/>
  <c r="B80" i="40"/>
  <c r="B78" i="40"/>
  <c r="B72" i="40"/>
  <c r="B70" i="40"/>
  <c r="B68" i="40"/>
  <c r="B66" i="40"/>
  <c r="B64" i="40"/>
  <c r="B58" i="40"/>
  <c r="B56" i="40"/>
  <c r="B54" i="40"/>
  <c r="B52" i="40"/>
  <c r="B50" i="40"/>
  <c r="B48" i="40"/>
  <c r="B46" i="40"/>
  <c r="B45" i="40"/>
  <c r="B43" i="40"/>
  <c r="B41" i="40"/>
  <c r="B35" i="40"/>
  <c r="B33" i="40"/>
  <c r="A1" i="26"/>
  <c r="K5" i="39"/>
  <c r="C5" i="39"/>
  <c r="D5" i="39"/>
  <c r="G5" i="39"/>
  <c r="H5" i="39"/>
  <c r="B5" i="39"/>
  <c r="B423" i="40"/>
  <c r="B133" i="40"/>
  <c r="A4" i="37"/>
  <c r="A447" i="40"/>
  <c r="B445" i="40"/>
  <c r="B443" i="40"/>
  <c r="B442" i="40"/>
  <c r="B441" i="40"/>
  <c r="B440" i="40"/>
  <c r="B439" i="40"/>
  <c r="B438" i="40"/>
  <c r="B435" i="40"/>
  <c r="B432" i="40"/>
  <c r="B431" i="40"/>
  <c r="B430" i="40"/>
  <c r="B429" i="40"/>
  <c r="B428" i="40"/>
  <c r="B427" i="40"/>
  <c r="B426" i="40"/>
  <c r="B425" i="40"/>
  <c r="B424" i="40"/>
  <c r="B422" i="40"/>
  <c r="B421" i="40"/>
  <c r="B418" i="40"/>
  <c r="B416" i="40"/>
  <c r="B415" i="40"/>
  <c r="B414" i="40"/>
  <c r="B413" i="40"/>
  <c r="B410" i="40"/>
  <c r="B408" i="40"/>
  <c r="B407" i="40"/>
  <c r="B406" i="40"/>
  <c r="B405" i="40"/>
  <c r="B404" i="40"/>
  <c r="B403" i="40"/>
  <c r="B401" i="40"/>
  <c r="B400" i="40"/>
  <c r="B397" i="40"/>
  <c r="B392" i="40"/>
  <c r="B385" i="40"/>
  <c r="B380" i="40"/>
  <c r="B378" i="40"/>
  <c r="B377" i="40"/>
  <c r="B376" i="40"/>
  <c r="B370" i="40"/>
  <c r="B367" i="40"/>
  <c r="B365" i="40"/>
  <c r="B364" i="40"/>
  <c r="B363" i="40"/>
  <c r="B362" i="40"/>
  <c r="B361" i="40"/>
  <c r="B360" i="40"/>
  <c r="B359" i="40"/>
  <c r="B358" i="40"/>
  <c r="B356" i="40"/>
  <c r="B354" i="40"/>
  <c r="B353" i="40"/>
  <c r="B352" i="40"/>
  <c r="B351" i="40"/>
  <c r="B348" i="40"/>
  <c r="B346" i="40"/>
  <c r="B345" i="40"/>
  <c r="B343" i="40"/>
  <c r="B342" i="40"/>
  <c r="B341" i="40"/>
  <c r="B340" i="40"/>
  <c r="B339" i="40"/>
  <c r="B338" i="40"/>
  <c r="B337" i="40"/>
  <c r="B336" i="40"/>
  <c r="B335" i="40"/>
  <c r="B332" i="40"/>
  <c r="B330" i="40"/>
  <c r="B329" i="40"/>
  <c r="B324" i="40"/>
  <c r="B323" i="40"/>
  <c r="B321" i="40"/>
  <c r="B320" i="40"/>
  <c r="B319" i="40"/>
  <c r="B318" i="40"/>
  <c r="B317" i="40"/>
  <c r="B316" i="40"/>
  <c r="B315" i="40"/>
  <c r="B314" i="40"/>
  <c r="B313" i="40"/>
  <c r="B310" i="40"/>
  <c r="B308" i="40"/>
  <c r="B306" i="40"/>
  <c r="B305" i="40"/>
  <c r="B304" i="40"/>
  <c r="B303" i="40"/>
  <c r="B302" i="40"/>
  <c r="B300" i="40"/>
  <c r="B298" i="40"/>
  <c r="B297" i="40"/>
  <c r="B296" i="40"/>
  <c r="B294" i="40"/>
  <c r="B293" i="40"/>
  <c r="B292" i="40"/>
  <c r="B290" i="40"/>
  <c r="B287" i="40"/>
  <c r="B285" i="40"/>
  <c r="B233" i="40"/>
  <c r="B231" i="40"/>
  <c r="B227" i="40"/>
  <c r="B226" i="40"/>
  <c r="B225" i="40"/>
  <c r="B224" i="40"/>
  <c r="B222" i="40"/>
  <c r="B221" i="40"/>
  <c r="B220" i="40"/>
  <c r="B219" i="40"/>
  <c r="B218" i="40"/>
  <c r="B217" i="40"/>
  <c r="B216" i="40"/>
  <c r="B215" i="40"/>
  <c r="B214" i="40"/>
  <c r="B213" i="40"/>
  <c r="B212" i="40"/>
  <c r="B211" i="40"/>
  <c r="B209" i="40"/>
  <c r="B208" i="40"/>
  <c r="B206" i="40"/>
  <c r="B131" i="40"/>
  <c r="B129" i="40"/>
  <c r="B127" i="40"/>
  <c r="B125" i="40"/>
  <c r="B123" i="40"/>
  <c r="B121" i="40"/>
  <c r="B119" i="40"/>
  <c r="B117" i="40"/>
  <c r="B115" i="40"/>
  <c r="B113" i="40"/>
  <c r="B105" i="40"/>
  <c r="B103" i="40"/>
  <c r="B101" i="40"/>
  <c r="B99" i="40"/>
  <c r="B97" i="40"/>
  <c r="B93" i="40"/>
  <c r="B91" i="40"/>
  <c r="B89" i="40"/>
  <c r="B87" i="40"/>
  <c r="B85" i="40"/>
  <c r="B83" i="40"/>
  <c r="B81" i="40"/>
  <c r="B79" i="40"/>
  <c r="B73" i="40"/>
  <c r="B71" i="40"/>
  <c r="B69" i="40"/>
  <c r="B67" i="40"/>
  <c r="B65" i="40"/>
  <c r="B59" i="40"/>
  <c r="B57" i="40"/>
  <c r="B55" i="40"/>
  <c r="B53" i="40"/>
  <c r="B51" i="40"/>
  <c r="B49" i="40"/>
  <c r="B47" i="40"/>
  <c r="B44" i="40"/>
  <c r="B42" i="40"/>
  <c r="B36" i="40"/>
  <c r="B34" i="40"/>
  <c r="B32" i="40"/>
  <c r="B24" i="40"/>
  <c r="B8" i="40"/>
  <c r="B22" i="40"/>
  <c r="B21" i="40"/>
  <c r="B18" i="40"/>
  <c r="B17" i="40"/>
  <c r="B16" i="40"/>
  <c r="B15" i="40"/>
  <c r="B14" i="40"/>
  <c r="B13" i="40"/>
  <c r="B12" i="40"/>
  <c r="B11" i="40"/>
  <c r="B4" i="40"/>
  <c r="B3" i="40"/>
  <c r="D300" i="40"/>
  <c r="D222" i="40"/>
  <c r="D209" i="40"/>
  <c r="D208" i="40"/>
  <c r="G27" i="40"/>
  <c r="G28" i="40"/>
  <c r="E28" i="40"/>
  <c r="E27" i="40"/>
  <c r="V2" i="40"/>
  <c r="U2" i="40"/>
  <c r="T2" i="40"/>
  <c r="T1" i="40"/>
  <c r="M3" i="2"/>
  <c r="N3" i="2"/>
  <c r="L2" i="2"/>
  <c r="A1" i="10"/>
  <c r="A1" i="9"/>
  <c r="A1" i="40"/>
  <c r="B22" i="2"/>
  <c r="B21" i="2"/>
  <c r="B20" i="2"/>
  <c r="B19" i="2"/>
  <c r="B18" i="2"/>
  <c r="B17" i="2"/>
  <c r="B16" i="2"/>
  <c r="B15" i="2"/>
  <c r="B14" i="2"/>
  <c r="B13" i="2"/>
  <c r="B12" i="2"/>
  <c r="B11" i="2"/>
  <c r="B10" i="2"/>
  <c r="B9" i="2"/>
  <c r="B8" i="2"/>
  <c r="B7" i="2"/>
  <c r="B6" i="2"/>
  <c r="B5" i="2"/>
  <c r="A3" i="2"/>
  <c r="A35" i="22"/>
  <c r="A7" i="22"/>
  <c r="E47" i="22"/>
  <c r="B38" i="22"/>
  <c r="A44" i="22"/>
  <c r="A43" i="22"/>
  <c r="A42" i="22"/>
  <c r="A41" i="22"/>
  <c r="A40" i="22"/>
  <c r="A39" i="22"/>
  <c r="A8" i="22"/>
  <c r="B32" i="22"/>
  <c r="B31" i="22"/>
  <c r="D28" i="22"/>
  <c r="D27" i="22"/>
  <c r="A36" i="22"/>
  <c r="A34" i="22"/>
  <c r="A28" i="22"/>
  <c r="A27" i="22"/>
  <c r="A24" i="22"/>
  <c r="D22" i="22"/>
  <c r="A22" i="22"/>
  <c r="A13" i="22"/>
  <c r="A16" i="22"/>
  <c r="A19" i="22"/>
  <c r="A20" i="22"/>
  <c r="V130" i="40"/>
  <c r="V128" i="40"/>
  <c r="V126" i="40"/>
  <c r="V124" i="40"/>
  <c r="V122" i="40"/>
  <c r="V120" i="40"/>
  <c r="V118" i="40"/>
  <c r="V116" i="40"/>
  <c r="V114" i="40"/>
  <c r="V112" i="40"/>
  <c r="V104" i="40"/>
  <c r="V102" i="40"/>
  <c r="V100" i="40"/>
  <c r="V98" i="40"/>
  <c r="V96" i="40"/>
  <c r="V92" i="40"/>
  <c r="V90" i="40"/>
  <c r="V88" i="40"/>
  <c r="V86" i="40"/>
  <c r="V84" i="40"/>
  <c r="V82" i="40"/>
  <c r="V80" i="40"/>
  <c r="V78" i="40"/>
  <c r="V72" i="40"/>
  <c r="V70" i="40"/>
  <c r="V68" i="40"/>
  <c r="V66" i="40"/>
  <c r="V64" i="40"/>
  <c r="V58" i="40"/>
  <c r="V56" i="40"/>
  <c r="V54" i="40"/>
  <c r="V52" i="40"/>
  <c r="V50" i="40"/>
  <c r="V48" i="40"/>
  <c r="V46" i="40"/>
  <c r="V43" i="40"/>
  <c r="V41" i="40"/>
  <c r="V39" i="40"/>
  <c r="V33" i="40"/>
  <c r="V31" i="40"/>
  <c r="V45" i="40"/>
  <c r="G8" i="40"/>
  <c r="D5" i="2" s="1"/>
  <c r="G435" i="40"/>
  <c r="D15" i="2" s="1"/>
  <c r="V422" i="40"/>
  <c r="W422" i="40" s="1"/>
  <c r="V424" i="40"/>
  <c r="W424" i="40" s="1"/>
  <c r="V425" i="40"/>
  <c r="V426" i="40"/>
  <c r="W426" i="40" s="1"/>
  <c r="V427" i="40"/>
  <c r="W427" i="40" s="1"/>
  <c r="V429" i="40"/>
  <c r="W429" i="40" s="1"/>
  <c r="V430" i="40"/>
  <c r="W430" i="40" s="1"/>
  <c r="V431" i="40"/>
  <c r="W431" i="40" s="1"/>
  <c r="V432" i="40"/>
  <c r="W432" i="40" s="1"/>
  <c r="I7" i="9"/>
  <c r="G8" i="9"/>
  <c r="G9" i="9"/>
  <c r="I9" i="9" s="1"/>
  <c r="I32" i="9"/>
  <c r="V414" i="40"/>
  <c r="V415" i="40"/>
  <c r="V416" i="40"/>
  <c r="G410" i="40"/>
  <c r="D13" i="2" s="1"/>
  <c r="V401" i="40"/>
  <c r="W401" i="40" s="1"/>
  <c r="V403" i="40"/>
  <c r="W403" i="40" s="1"/>
  <c r="V404" i="40"/>
  <c r="W404" i="40" s="1"/>
  <c r="V405" i="40"/>
  <c r="V406" i="40"/>
  <c r="W406" i="40" s="1"/>
  <c r="V407" i="40"/>
  <c r="W407" i="40" s="1"/>
  <c r="V408" i="40"/>
  <c r="W408" i="40" s="1"/>
  <c r="AG378" i="40"/>
  <c r="V371" i="40"/>
  <c r="V375" i="40"/>
  <c r="W375" i="40" s="1"/>
  <c r="V376" i="40"/>
  <c r="W376" i="40" s="1"/>
  <c r="V377" i="40"/>
  <c r="W377" i="40" s="1"/>
  <c r="V378" i="40"/>
  <c r="W378" i="40" s="1"/>
  <c r="V380" i="40"/>
  <c r="V385" i="40"/>
  <c r="V392" i="40"/>
  <c r="W392" i="40" s="1"/>
  <c r="G352" i="40"/>
  <c r="AG352" i="40" s="1"/>
  <c r="G353" i="40"/>
  <c r="G354" i="40"/>
  <c r="AG354" i="40" s="1"/>
  <c r="G356" i="40"/>
  <c r="AG356" i="40" s="1"/>
  <c r="G359" i="40"/>
  <c r="AG359" i="40" s="1"/>
  <c r="G360" i="40"/>
  <c r="AG360" i="40" s="1"/>
  <c r="G361" i="40"/>
  <c r="AG361" i="40" s="1"/>
  <c r="G362" i="40"/>
  <c r="G363" i="40"/>
  <c r="AG363" i="40" s="1"/>
  <c r="G364" i="40"/>
  <c r="V352" i="40"/>
  <c r="V353" i="40"/>
  <c r="V354" i="40"/>
  <c r="V356" i="40"/>
  <c r="V359" i="40"/>
  <c r="V360" i="40"/>
  <c r="V361" i="40"/>
  <c r="V362" i="40"/>
  <c r="V363" i="40"/>
  <c r="V364" i="40"/>
  <c r="V365" i="40"/>
  <c r="W365" i="40" s="1"/>
  <c r="G337" i="40"/>
  <c r="AG337" i="40" s="1"/>
  <c r="H37" i="39"/>
  <c r="G338" i="40" s="1"/>
  <c r="AG338" i="40" s="1"/>
  <c r="G339" i="40"/>
  <c r="AG339" i="40" s="1"/>
  <c r="G341" i="40"/>
  <c r="AG341" i="40" s="1"/>
  <c r="I37" i="39"/>
  <c r="G345" i="40" s="1"/>
  <c r="AG345" i="40" s="1"/>
  <c r="V336" i="40"/>
  <c r="V337" i="40"/>
  <c r="V338" i="40"/>
  <c r="V339" i="40"/>
  <c r="V340" i="40"/>
  <c r="W340" i="40" s="1"/>
  <c r="V341" i="40"/>
  <c r="V342" i="40"/>
  <c r="W342" i="40" s="1"/>
  <c r="V343" i="40"/>
  <c r="W343" i="40" s="1"/>
  <c r="V344" i="40"/>
  <c r="V345" i="40"/>
  <c r="V346" i="40"/>
  <c r="W346" i="40" s="1"/>
  <c r="G315" i="40"/>
  <c r="AG315" i="40" s="1"/>
  <c r="G316" i="40"/>
  <c r="AG316" i="40" s="1"/>
  <c r="G317" i="40"/>
  <c r="AG317" i="40" s="1"/>
  <c r="G318" i="40"/>
  <c r="AG318" i="40" s="1"/>
  <c r="G319" i="40"/>
  <c r="AG319" i="40" s="1"/>
  <c r="G320" i="40"/>
  <c r="AG320" i="40" s="1"/>
  <c r="G321" i="40"/>
  <c r="AG321" i="40" s="1"/>
  <c r="V321" i="40"/>
  <c r="G37" i="39"/>
  <c r="G323" i="40" s="1"/>
  <c r="G324" i="40"/>
  <c r="AG324" i="40" s="1"/>
  <c r="C37" i="39"/>
  <c r="D37" i="39"/>
  <c r="G329" i="40"/>
  <c r="AG329" i="40" s="1"/>
  <c r="V315" i="40"/>
  <c r="V316" i="40"/>
  <c r="V317" i="40"/>
  <c r="V318" i="40"/>
  <c r="V319" i="40"/>
  <c r="V320" i="40"/>
  <c r="V323" i="40"/>
  <c r="V324" i="40"/>
  <c r="V326" i="40"/>
  <c r="V329" i="40"/>
  <c r="V330" i="40"/>
  <c r="W330" i="40" s="1"/>
  <c r="G292" i="40"/>
  <c r="G293" i="40"/>
  <c r="AG293" i="40" s="1"/>
  <c r="G294" i="40"/>
  <c r="AG294" i="40" s="1"/>
  <c r="G297" i="40"/>
  <c r="AG297" i="40" s="1"/>
  <c r="G298" i="40"/>
  <c r="AG298" i="40" s="1"/>
  <c r="G300" i="40"/>
  <c r="AG300" i="40" s="1"/>
  <c r="G303" i="40"/>
  <c r="AG303" i="40" s="1"/>
  <c r="G304" i="40"/>
  <c r="AG304" i="40" s="1"/>
  <c r="G305" i="40"/>
  <c r="AG305" i="40" s="1"/>
  <c r="V292" i="40"/>
  <c r="V293" i="40"/>
  <c r="V294" i="40"/>
  <c r="V297" i="40"/>
  <c r="V298" i="40"/>
  <c r="V300" i="40"/>
  <c r="V303" i="40"/>
  <c r="V304" i="40"/>
  <c r="V305" i="40"/>
  <c r="V306" i="40"/>
  <c r="V308" i="40"/>
  <c r="W308" i="40" s="1"/>
  <c r="V12" i="40"/>
  <c r="W12" i="40" s="1"/>
  <c r="V13" i="40"/>
  <c r="W13" i="40" s="1"/>
  <c r="V14" i="40"/>
  <c r="W14" i="40" s="1"/>
  <c r="V15" i="40"/>
  <c r="W15" i="40" s="1"/>
  <c r="V16" i="40"/>
  <c r="W16" i="40" s="1"/>
  <c r="V18" i="40"/>
  <c r="W18" i="40" s="1"/>
  <c r="V19" i="40"/>
  <c r="W19" i="40" s="1"/>
  <c r="V20" i="40"/>
  <c r="W20" i="40" s="1"/>
  <c r="V21" i="40"/>
  <c r="W21" i="40" s="1"/>
  <c r="V22" i="40"/>
  <c r="W22" i="40" s="1"/>
  <c r="V4" i="40"/>
  <c r="V8" i="40" s="1"/>
  <c r="G445" i="40"/>
  <c r="D16" i="2" s="1"/>
  <c r="AC16" i="2" s="1"/>
  <c r="V439" i="40"/>
  <c r="W439" i="40" s="1"/>
  <c r="V440" i="40"/>
  <c r="W440" i="40" s="1"/>
  <c r="V441" i="40"/>
  <c r="W441" i="40" s="1"/>
  <c r="V442" i="40"/>
  <c r="W442" i="40" s="1"/>
  <c r="V443" i="40"/>
  <c r="W443" i="40" s="1"/>
  <c r="V221" i="40"/>
  <c r="W221" i="40" s="1"/>
  <c r="V222" i="40"/>
  <c r="T218" i="40"/>
  <c r="U218" i="40"/>
  <c r="V208" i="40"/>
  <c r="V209" i="40"/>
  <c r="U8" i="40"/>
  <c r="M5" i="2" s="1"/>
  <c r="U24" i="40"/>
  <c r="M6" i="2" s="1"/>
  <c r="U310" i="40"/>
  <c r="M8" i="2" s="1"/>
  <c r="U332" i="40"/>
  <c r="M9" i="2" s="1"/>
  <c r="U348" i="40"/>
  <c r="M10" i="2" s="1"/>
  <c r="U367" i="40"/>
  <c r="M11" i="2" s="1"/>
  <c r="U397" i="40"/>
  <c r="M12" i="2" s="1"/>
  <c r="U410" i="40"/>
  <c r="M13" i="2" s="1"/>
  <c r="U418" i="40"/>
  <c r="M14" i="2" s="1"/>
  <c r="U435" i="40"/>
  <c r="M15" i="2" s="1"/>
  <c r="U445" i="40"/>
  <c r="M16" i="2" s="1"/>
  <c r="T8" i="40"/>
  <c r="L5" i="2" s="1"/>
  <c r="T24" i="40"/>
  <c r="L6" i="2" s="1"/>
  <c r="T310" i="40"/>
  <c r="L8" i="2" s="1"/>
  <c r="T332" i="40"/>
  <c r="L9" i="2" s="1"/>
  <c r="T348" i="40"/>
  <c r="L10" i="2" s="1"/>
  <c r="T367" i="40"/>
  <c r="L11" i="2" s="1"/>
  <c r="T397" i="40"/>
  <c r="L12" i="2" s="1"/>
  <c r="T410" i="40"/>
  <c r="L13" i="2" s="1"/>
  <c r="T418" i="40"/>
  <c r="L14" i="2" s="1"/>
  <c r="T435" i="40"/>
  <c r="L15" i="2" s="1"/>
  <c r="T445" i="40"/>
  <c r="L16" i="2" s="1"/>
  <c r="Q2" i="2"/>
  <c r="I9" i="4"/>
  <c r="G209" i="40"/>
  <c r="AG209" i="40" s="1"/>
  <c r="C15" i="10"/>
  <c r="V5" i="2"/>
  <c r="D3" i="54" s="1"/>
  <c r="AD24" i="40"/>
  <c r="V6" i="2" s="1"/>
  <c r="D4" i="54" s="1"/>
  <c r="AD310" i="40"/>
  <c r="V8" i="2" s="1"/>
  <c r="D6" i="54" s="1"/>
  <c r="AD332" i="40"/>
  <c r="V9" i="2" s="1"/>
  <c r="D7" i="54" s="1"/>
  <c r="AD367" i="40"/>
  <c r="V11" i="2" s="1"/>
  <c r="D9" i="54" s="1"/>
  <c r="AD397" i="40"/>
  <c r="V12" i="2" s="1"/>
  <c r="D10" i="54" s="1"/>
  <c r="AD410" i="40"/>
  <c r="V13" i="2" s="1"/>
  <c r="D11" i="54" s="1"/>
  <c r="AD435" i="40"/>
  <c r="V15" i="2" s="1"/>
  <c r="D13" i="54" s="1"/>
  <c r="AD445" i="40"/>
  <c r="V16" i="2" s="1"/>
  <c r="D14" i="54" s="1"/>
  <c r="X5" i="2"/>
  <c r="E3" i="54" s="1"/>
  <c r="AE24" i="40"/>
  <c r="X6" i="2" s="1"/>
  <c r="E4" i="54" s="1"/>
  <c r="AE310" i="40"/>
  <c r="X8" i="2" s="1"/>
  <c r="E6" i="54" s="1"/>
  <c r="AE332" i="40"/>
  <c r="X9" i="2" s="1"/>
  <c r="E7" i="54" s="1"/>
  <c r="AE367" i="40"/>
  <c r="X11" i="2" s="1"/>
  <c r="E9" i="54" s="1"/>
  <c r="AE397" i="40"/>
  <c r="X12" i="2" s="1"/>
  <c r="E10" i="54" s="1"/>
  <c r="AE410" i="40"/>
  <c r="X13" i="2" s="1"/>
  <c r="E11" i="54" s="1"/>
  <c r="AE435" i="40"/>
  <c r="X15" i="2" s="1"/>
  <c r="E13" i="54" s="1"/>
  <c r="AE445" i="40"/>
  <c r="X16" i="2" s="1"/>
  <c r="E14" i="54" s="1"/>
  <c r="AF24" i="40"/>
  <c r="Z6" i="2" s="1"/>
  <c r="F4" i="54" s="1"/>
  <c r="AF310" i="40"/>
  <c r="Z8" i="2" s="1"/>
  <c r="F6" i="54" s="1"/>
  <c r="AF332" i="40"/>
  <c r="Z9" i="2" s="1"/>
  <c r="F7" i="54" s="1"/>
  <c r="AF367" i="40"/>
  <c r="Z11" i="2" s="1"/>
  <c r="F9" i="54" s="1"/>
  <c r="AF397" i="40"/>
  <c r="Z12" i="2" s="1"/>
  <c r="F10" i="54" s="1"/>
  <c r="AF410" i="40"/>
  <c r="Z13" i="2" s="1"/>
  <c r="F11" i="54" s="1"/>
  <c r="AF435" i="40"/>
  <c r="AF445" i="40"/>
  <c r="Z16" i="2" s="1"/>
  <c r="I41" i="10"/>
  <c r="E63" i="10"/>
  <c r="D54" i="10"/>
  <c r="E52" i="10"/>
  <c r="D43" i="10"/>
  <c r="K40" i="10"/>
  <c r="K36" i="10"/>
  <c r="K56" i="10"/>
  <c r="D5" i="4"/>
  <c r="I12" i="10"/>
  <c r="I29" i="10"/>
  <c r="I37" i="10"/>
  <c r="I38" i="10"/>
  <c r="I39" i="10"/>
  <c r="I42" i="10"/>
  <c r="K4" i="9"/>
  <c r="L4" i="9"/>
  <c r="M4" i="9"/>
  <c r="I14" i="9"/>
  <c r="I19" i="9"/>
  <c r="I45" i="9"/>
  <c r="I46" i="9"/>
  <c r="I47" i="9"/>
  <c r="I48" i="9"/>
  <c r="I49" i="9"/>
  <c r="I50" i="9"/>
  <c r="I51" i="9"/>
  <c r="I52" i="9"/>
  <c r="K58" i="9"/>
  <c r="AD416" i="40" s="1"/>
  <c r="L58" i="9"/>
  <c r="AE416" i="40" s="1"/>
  <c r="M58" i="9"/>
  <c r="AF416" i="40" s="1"/>
  <c r="R2" i="26"/>
  <c r="S2" i="26"/>
  <c r="T2" i="26"/>
  <c r="W2" i="26"/>
  <c r="X2" i="26"/>
  <c r="F4" i="26"/>
  <c r="M208" i="40" s="1"/>
  <c r="F5" i="26"/>
  <c r="F6" i="26"/>
  <c r="J6" i="26" s="1"/>
  <c r="F7" i="26"/>
  <c r="B200" i="53" s="1"/>
  <c r="F8" i="26"/>
  <c r="F9" i="26"/>
  <c r="F10" i="26"/>
  <c r="J10" i="26" s="1"/>
  <c r="F11" i="26"/>
  <c r="F12" i="26"/>
  <c r="F13" i="26"/>
  <c r="F14" i="26"/>
  <c r="F15" i="26"/>
  <c r="F16" i="26"/>
  <c r="F17" i="26"/>
  <c r="F18" i="26"/>
  <c r="F19" i="26"/>
  <c r="F20" i="26"/>
  <c r="F21" i="26"/>
  <c r="F22" i="26"/>
  <c r="F23" i="26"/>
  <c r="F24" i="26"/>
  <c r="F25" i="26"/>
  <c r="F26" i="26"/>
  <c r="F27" i="26"/>
  <c r="F28" i="26"/>
  <c r="I28" i="26" s="1"/>
  <c r="F29" i="26"/>
  <c r="F50" i="26"/>
  <c r="F51" i="26"/>
  <c r="F52" i="26"/>
  <c r="F53" i="26"/>
  <c r="B246" i="53" s="1"/>
  <c r="D55" i="26"/>
  <c r="C208" i="40" s="1"/>
  <c r="I33" i="9"/>
  <c r="AD208" i="40"/>
  <c r="AE208" i="40"/>
  <c r="AF208" i="40"/>
  <c r="F59" i="26"/>
  <c r="F60" i="26"/>
  <c r="D62" i="26"/>
  <c r="I34" i="9" s="1"/>
  <c r="AE222" i="40"/>
  <c r="K21" i="9"/>
  <c r="AD414" i="40" s="1"/>
  <c r="L41" i="9"/>
  <c r="AE415" i="40" s="1"/>
  <c r="M21" i="9"/>
  <c r="AF414" i="40" s="1"/>
  <c r="E6" i="37"/>
  <c r="G6" i="37" s="1"/>
  <c r="E7" i="37"/>
  <c r="G7" i="37" s="1"/>
  <c r="E8" i="37"/>
  <c r="G8" i="37" s="1"/>
  <c r="E10" i="37"/>
  <c r="G10" i="37" s="1"/>
  <c r="E11" i="37"/>
  <c r="G11" i="37" s="1"/>
  <c r="E12" i="37"/>
  <c r="G12" i="37" s="1"/>
  <c r="E13" i="37"/>
  <c r="G13" i="37" s="1"/>
  <c r="E14" i="37"/>
  <c r="G14" i="37" s="1"/>
  <c r="E15" i="37"/>
  <c r="G15" i="37" s="1"/>
  <c r="E16" i="37"/>
  <c r="G16" i="37" s="1"/>
  <c r="E17" i="37"/>
  <c r="G17" i="37" s="1"/>
  <c r="E18" i="37"/>
  <c r="G18" i="37" s="1"/>
  <c r="E19" i="37"/>
  <c r="G19" i="37" s="1"/>
  <c r="E20" i="37"/>
  <c r="G20" i="37" s="1"/>
  <c r="E23" i="37"/>
  <c r="G23" i="37" s="1"/>
  <c r="E24" i="37"/>
  <c r="G24" i="37" s="1"/>
  <c r="E25" i="37"/>
  <c r="G25" i="37" s="1"/>
  <c r="E26" i="37"/>
  <c r="G26" i="37" s="1"/>
  <c r="E27" i="37"/>
  <c r="G27" i="37" s="1"/>
  <c r="E28" i="37"/>
  <c r="G28" i="37" s="1"/>
  <c r="E30" i="37"/>
  <c r="G30" i="37" s="1"/>
  <c r="E31" i="37"/>
  <c r="G31" i="37" s="1"/>
  <c r="E32" i="37"/>
  <c r="G32" i="37" s="1"/>
  <c r="E33" i="37"/>
  <c r="G33" i="37" s="1"/>
  <c r="E34" i="37"/>
  <c r="G34" i="37" s="1"/>
  <c r="E35" i="37"/>
  <c r="G35" i="37" s="1"/>
  <c r="E36" i="37"/>
  <c r="G36" i="37" s="1"/>
  <c r="E37" i="37"/>
  <c r="G37" i="37" s="1"/>
  <c r="E39" i="37"/>
  <c r="G39" i="37" s="1"/>
  <c r="E40" i="37"/>
  <c r="G40" i="37" s="1"/>
  <c r="E41" i="37"/>
  <c r="G41" i="37" s="1"/>
  <c r="E42" i="37"/>
  <c r="G42" i="37" s="1"/>
  <c r="E43" i="37"/>
  <c r="G43" i="37" s="1"/>
  <c r="E44" i="37"/>
  <c r="G44" i="37" s="1"/>
  <c r="E47" i="37"/>
  <c r="G47" i="37" s="1"/>
  <c r="E48" i="37"/>
  <c r="G48" i="37" s="1"/>
  <c r="E49" i="37"/>
  <c r="G49" i="37" s="1"/>
  <c r="E50" i="37"/>
  <c r="G50" i="37" s="1"/>
  <c r="E51" i="37"/>
  <c r="G51" i="37" s="1"/>
  <c r="E52" i="37"/>
  <c r="G52" i="37" s="1"/>
  <c r="E53" i="37"/>
  <c r="G53" i="37" s="1"/>
  <c r="E54" i="37"/>
  <c r="G54" i="37" s="1"/>
  <c r="E55" i="37"/>
  <c r="G55" i="37" s="1"/>
  <c r="E56" i="37"/>
  <c r="G56" i="37" s="1"/>
  <c r="A59" i="37"/>
  <c r="AD2" i="40"/>
  <c r="AE2" i="40"/>
  <c r="AF2" i="40"/>
  <c r="AG4" i="40"/>
  <c r="AG12" i="40"/>
  <c r="AG15" i="40"/>
  <c r="AG16" i="40"/>
  <c r="AG17" i="40"/>
  <c r="AG18" i="40"/>
  <c r="AG19" i="40"/>
  <c r="AG20" i="40"/>
  <c r="AG21" i="40"/>
  <c r="AG22" i="40"/>
  <c r="AG88" i="40"/>
  <c r="AG221" i="40"/>
  <c r="AG231" i="40"/>
  <c r="AG239" i="40"/>
  <c r="AG240" i="40"/>
  <c r="AG241" i="40"/>
  <c r="AG242" i="40"/>
  <c r="AG243" i="40"/>
  <c r="AG308" i="40"/>
  <c r="AG330" i="40"/>
  <c r="AG340" i="40"/>
  <c r="AG342" i="40"/>
  <c r="AG343" i="40"/>
  <c r="AG346" i="40"/>
  <c r="AG365" i="40"/>
  <c r="AG392" i="40"/>
  <c r="AG401" i="40"/>
  <c r="AG403" i="40"/>
  <c r="AG404" i="40"/>
  <c r="AG405" i="40"/>
  <c r="AG406" i="40"/>
  <c r="AG407" i="40"/>
  <c r="AG408" i="40"/>
  <c r="AG422" i="40"/>
  <c r="AG424" i="40"/>
  <c r="AG425" i="40"/>
  <c r="AG426" i="40"/>
  <c r="AG427" i="40"/>
  <c r="AG429" i="40"/>
  <c r="AG430" i="40"/>
  <c r="AG431" i="40"/>
  <c r="AG432" i="40"/>
  <c r="AG439" i="40"/>
  <c r="AG440" i="40"/>
  <c r="AG441" i="40"/>
  <c r="AG442" i="40"/>
  <c r="AG443" i="40"/>
  <c r="V3" i="2"/>
  <c r="X3" i="2"/>
  <c r="Z3" i="2"/>
  <c r="L21" i="9"/>
  <c r="AE414" i="40" s="1"/>
  <c r="AG375" i="40"/>
  <c r="M67" i="37"/>
  <c r="AG104" i="40"/>
  <c r="M27" i="37"/>
  <c r="M41" i="9"/>
  <c r="AF415" i="40" s="1"/>
  <c r="K41" i="9"/>
  <c r="AD415" i="40" s="1"/>
  <c r="M66" i="37"/>
  <c r="I53" i="37"/>
  <c r="J53" i="37" s="1"/>
  <c r="M40" i="37"/>
  <c r="AG376" i="40"/>
  <c r="AG377" i="40"/>
  <c r="M35" i="37"/>
  <c r="M60" i="37"/>
  <c r="F14" i="40"/>
  <c r="AG14" i="40"/>
  <c r="G24" i="40"/>
  <c r="D6" i="2" s="1"/>
  <c r="G31" i="40"/>
  <c r="F32" i="40"/>
  <c r="M55" i="37"/>
  <c r="M54" i="37"/>
  <c r="M53" i="37"/>
  <c r="M51" i="37"/>
  <c r="M50" i="37"/>
  <c r="M49" i="37"/>
  <c r="M48" i="37"/>
  <c r="M43" i="37"/>
  <c r="M42" i="37"/>
  <c r="M41" i="37"/>
  <c r="M38" i="37"/>
  <c r="M36" i="37"/>
  <c r="M34" i="37"/>
  <c r="M32" i="37"/>
  <c r="M30" i="37"/>
  <c r="M26" i="37"/>
  <c r="M25" i="37"/>
  <c r="M24" i="37"/>
  <c r="M23" i="37"/>
  <c r="M19" i="37"/>
  <c r="M18" i="37"/>
  <c r="M17" i="37"/>
  <c r="M16" i="37"/>
  <c r="M15" i="37"/>
  <c r="M20" i="37"/>
  <c r="M21" i="37"/>
  <c r="M22" i="37"/>
  <c r="M28" i="37"/>
  <c r="M29" i="37"/>
  <c r="M31" i="37"/>
  <c r="M33" i="37"/>
  <c r="M39" i="37"/>
  <c r="M46" i="37"/>
  <c r="AI62" i="40"/>
  <c r="I20" i="26"/>
  <c r="AL97" i="40"/>
  <c r="AI60" i="40"/>
  <c r="I7" i="10"/>
  <c r="AI72" i="40"/>
  <c r="AL72" i="40"/>
  <c r="AK81" i="40"/>
  <c r="AK97" i="40"/>
  <c r="AI35" i="40"/>
  <c r="C222" i="40"/>
  <c r="C11" i="54" l="1"/>
  <c r="C13" i="54"/>
  <c r="AG353" i="40"/>
  <c r="C39" i="46"/>
  <c r="C29" i="54"/>
  <c r="C30" i="54"/>
  <c r="I60" i="37"/>
  <c r="B60" i="53"/>
  <c r="I61" i="37"/>
  <c r="B61" i="53"/>
  <c r="C28" i="54"/>
  <c r="C31" i="54"/>
  <c r="I63" i="37"/>
  <c r="B63" i="53"/>
  <c r="I64" i="37"/>
  <c r="B64" i="53"/>
  <c r="I62" i="37"/>
  <c r="M62" i="37" s="1"/>
  <c r="B62" i="53"/>
  <c r="C39" i="2"/>
  <c r="AK34" i="40"/>
  <c r="AL30" i="40"/>
  <c r="J26" i="26"/>
  <c r="U131" i="37"/>
  <c r="AK32" i="40"/>
  <c r="AL33" i="40"/>
  <c r="J52" i="26"/>
  <c r="J24" i="26"/>
  <c r="K8" i="26"/>
  <c r="B201" i="53"/>
  <c r="I51" i="26"/>
  <c r="G23" i="26"/>
  <c r="K15" i="26"/>
  <c r="J50" i="26"/>
  <c r="J22" i="26"/>
  <c r="J14" i="26"/>
  <c r="B207" i="53"/>
  <c r="I6" i="26"/>
  <c r="B199" i="53"/>
  <c r="J29" i="26"/>
  <c r="G21" i="26"/>
  <c r="J13" i="26"/>
  <c r="B206" i="53"/>
  <c r="K5" i="26"/>
  <c r="B198" i="53"/>
  <c r="K28" i="26"/>
  <c r="G20" i="26"/>
  <c r="K12" i="26"/>
  <c r="B205" i="53"/>
  <c r="G27" i="26"/>
  <c r="G19" i="26"/>
  <c r="J11" i="26"/>
  <c r="B204" i="53"/>
  <c r="I18" i="26"/>
  <c r="K10" i="26"/>
  <c r="B203" i="53"/>
  <c r="I25" i="26"/>
  <c r="G17" i="26"/>
  <c r="J9" i="26"/>
  <c r="B202" i="53"/>
  <c r="K53" i="26"/>
  <c r="B197" i="53"/>
  <c r="B49" i="53"/>
  <c r="M116" i="40"/>
  <c r="L116" i="40"/>
  <c r="M92" i="40"/>
  <c r="L92" i="40"/>
  <c r="M72" i="40"/>
  <c r="L72" i="40"/>
  <c r="M52" i="40"/>
  <c r="L52" i="40"/>
  <c r="M35" i="40"/>
  <c r="L35" i="40"/>
  <c r="M94" i="40"/>
  <c r="L94" i="40"/>
  <c r="L114" i="40"/>
  <c r="M114" i="40"/>
  <c r="B36" i="53"/>
  <c r="M90" i="40"/>
  <c r="L90" i="40"/>
  <c r="M70" i="40"/>
  <c r="L70" i="40"/>
  <c r="N70" i="40" s="1"/>
  <c r="M50" i="40"/>
  <c r="L50" i="40"/>
  <c r="M33" i="40"/>
  <c r="L33" i="40"/>
  <c r="M31" i="40"/>
  <c r="L31" i="40"/>
  <c r="M128" i="40"/>
  <c r="L128" i="40"/>
  <c r="N128" i="40" s="1"/>
  <c r="M112" i="40"/>
  <c r="L112" i="40"/>
  <c r="M88" i="40"/>
  <c r="L88" i="40"/>
  <c r="B25" i="53"/>
  <c r="L68" i="40"/>
  <c r="M68" i="40"/>
  <c r="M48" i="40"/>
  <c r="L48" i="40"/>
  <c r="M110" i="40"/>
  <c r="L110" i="40"/>
  <c r="M126" i="40"/>
  <c r="L126" i="40"/>
  <c r="B43" i="53"/>
  <c r="M104" i="40"/>
  <c r="L104" i="40"/>
  <c r="B34" i="53"/>
  <c r="M86" i="40"/>
  <c r="L86" i="40"/>
  <c r="B24" i="53"/>
  <c r="M66" i="40"/>
  <c r="L66" i="40"/>
  <c r="L46" i="40"/>
  <c r="M46" i="40"/>
  <c r="M74" i="40"/>
  <c r="L74" i="40"/>
  <c r="B53" i="53"/>
  <c r="M124" i="40"/>
  <c r="L124" i="40"/>
  <c r="B42" i="53"/>
  <c r="M102" i="40"/>
  <c r="L102" i="40"/>
  <c r="N102" i="40" s="1"/>
  <c r="B33" i="53"/>
  <c r="M84" i="40"/>
  <c r="L84" i="40"/>
  <c r="B23" i="53"/>
  <c r="M64" i="40"/>
  <c r="L64" i="40"/>
  <c r="L60" i="40"/>
  <c r="M60" i="40"/>
  <c r="M62" i="40"/>
  <c r="L62" i="40"/>
  <c r="L106" i="40"/>
  <c r="M106" i="40"/>
  <c r="M37" i="40"/>
  <c r="L37" i="40"/>
  <c r="M122" i="40"/>
  <c r="L122" i="40"/>
  <c r="N122" i="40" s="1"/>
  <c r="M100" i="40"/>
  <c r="L100" i="40"/>
  <c r="B32" i="53"/>
  <c r="M82" i="40"/>
  <c r="L82" i="40"/>
  <c r="M58" i="40"/>
  <c r="L58" i="40"/>
  <c r="B12" i="53"/>
  <c r="M43" i="40"/>
  <c r="L43" i="40"/>
  <c r="M120" i="40"/>
  <c r="L120" i="40"/>
  <c r="M98" i="40"/>
  <c r="L98" i="40"/>
  <c r="M80" i="40"/>
  <c r="L80" i="40"/>
  <c r="N80" i="40" s="1"/>
  <c r="M56" i="40"/>
  <c r="L56" i="40"/>
  <c r="B11" i="53"/>
  <c r="M41" i="40"/>
  <c r="L41" i="40"/>
  <c r="M118" i="40"/>
  <c r="L118" i="40"/>
  <c r="M96" i="40"/>
  <c r="L96" i="40"/>
  <c r="M78" i="40"/>
  <c r="L78" i="40"/>
  <c r="M54" i="40"/>
  <c r="L54" i="40"/>
  <c r="B10" i="53"/>
  <c r="M39" i="40"/>
  <c r="L39" i="40"/>
  <c r="N39" i="40" s="1"/>
  <c r="L76" i="40"/>
  <c r="M76" i="40"/>
  <c r="M108" i="40"/>
  <c r="L108" i="40"/>
  <c r="M130" i="40"/>
  <c r="L130" i="40"/>
  <c r="B13" i="53"/>
  <c r="M45" i="40"/>
  <c r="L45" i="40"/>
  <c r="I21" i="37"/>
  <c r="J21" i="37" s="1"/>
  <c r="B21" i="53"/>
  <c r="L149" i="40"/>
  <c r="M149" i="40"/>
  <c r="AG120" i="40"/>
  <c r="B51" i="53"/>
  <c r="AG98" i="40"/>
  <c r="B40" i="53"/>
  <c r="AG80" i="40"/>
  <c r="B31" i="53"/>
  <c r="I19" i="37"/>
  <c r="J19" i="37" s="1"/>
  <c r="B19" i="53"/>
  <c r="I28" i="37"/>
  <c r="B28" i="53"/>
  <c r="I46" i="37"/>
  <c r="J46" i="37" s="1"/>
  <c r="P46" i="37" s="1"/>
  <c r="B46" i="53"/>
  <c r="C27" i="46"/>
  <c r="I6" i="37"/>
  <c r="J6" i="37" s="1"/>
  <c r="B6" i="53"/>
  <c r="I50" i="37"/>
  <c r="J50" i="37" s="1"/>
  <c r="K50" i="37" s="1"/>
  <c r="L50" i="37" s="1"/>
  <c r="S50" i="37" s="1"/>
  <c r="B50" i="53"/>
  <c r="AG96" i="40"/>
  <c r="B39" i="53"/>
  <c r="AG78" i="40"/>
  <c r="B30" i="53"/>
  <c r="AG54" i="40"/>
  <c r="B18" i="53"/>
  <c r="I22" i="37"/>
  <c r="J22" i="37" s="1"/>
  <c r="K22" i="37" s="1"/>
  <c r="B22" i="53"/>
  <c r="AG100" i="40"/>
  <c r="B41" i="53"/>
  <c r="I37" i="37"/>
  <c r="J37" i="37" s="1"/>
  <c r="B37" i="53"/>
  <c r="I27" i="37"/>
  <c r="J27" i="37" s="1"/>
  <c r="B27" i="53"/>
  <c r="I17" i="37"/>
  <c r="J17" i="37" s="1"/>
  <c r="K17" i="37" s="1"/>
  <c r="L17" i="37" s="1"/>
  <c r="B17" i="53"/>
  <c r="M29" i="40"/>
  <c r="L29" i="40"/>
  <c r="I44" i="37"/>
  <c r="B44" i="53"/>
  <c r="C28" i="46"/>
  <c r="B9" i="53"/>
  <c r="AG58" i="40"/>
  <c r="B20" i="53"/>
  <c r="AG130" i="40"/>
  <c r="B56" i="53"/>
  <c r="AG114" i="40"/>
  <c r="B48" i="53"/>
  <c r="AG70" i="40"/>
  <c r="B26" i="53"/>
  <c r="AG50" i="40"/>
  <c r="B16" i="53"/>
  <c r="AG35" i="40"/>
  <c r="B8" i="53"/>
  <c r="AG128" i="40"/>
  <c r="B55" i="53"/>
  <c r="I47" i="37"/>
  <c r="J47" i="37" s="1"/>
  <c r="B47" i="53"/>
  <c r="I35" i="37"/>
  <c r="J35" i="37" s="1"/>
  <c r="B35" i="53"/>
  <c r="I15" i="37"/>
  <c r="J15" i="37" s="1"/>
  <c r="B15" i="53"/>
  <c r="AG33" i="40"/>
  <c r="B7" i="53"/>
  <c r="AG76" i="40"/>
  <c r="B29" i="53"/>
  <c r="I52" i="37"/>
  <c r="O52" i="37" s="1"/>
  <c r="B52" i="53"/>
  <c r="AG126" i="40"/>
  <c r="B54" i="53"/>
  <c r="AG46" i="40"/>
  <c r="B14" i="53"/>
  <c r="I45" i="37"/>
  <c r="M45" i="37" s="1"/>
  <c r="B45" i="53"/>
  <c r="W385" i="40"/>
  <c r="AG94" i="40"/>
  <c r="B38" i="53"/>
  <c r="I11" i="26"/>
  <c r="K13" i="26"/>
  <c r="I19" i="26"/>
  <c r="G9" i="26"/>
  <c r="I14" i="26"/>
  <c r="I5" i="37"/>
  <c r="M5" i="37" s="1"/>
  <c r="G206" i="40"/>
  <c r="AG206" i="40" s="1"/>
  <c r="B5" i="53"/>
  <c r="L134" i="40"/>
  <c r="M134" i="40"/>
  <c r="AI88" i="40"/>
  <c r="AK62" i="40"/>
  <c r="A134" i="53"/>
  <c r="A7" i="37"/>
  <c r="A7" i="53"/>
  <c r="A17" i="37"/>
  <c r="A17" i="53"/>
  <c r="A27" i="37"/>
  <c r="A27" i="53"/>
  <c r="A37" i="37"/>
  <c r="A37" i="53"/>
  <c r="A49" i="37"/>
  <c r="A49" i="53"/>
  <c r="A6" i="37"/>
  <c r="A6" i="53"/>
  <c r="L140" i="40"/>
  <c r="M140" i="40"/>
  <c r="A29" i="37"/>
  <c r="A29" i="53"/>
  <c r="A44" i="37"/>
  <c r="A44" i="53"/>
  <c r="I77" i="37"/>
  <c r="J77" i="37" s="1"/>
  <c r="K77" i="37" s="1"/>
  <c r="L77" i="37" s="1"/>
  <c r="L152" i="40"/>
  <c r="M152" i="40"/>
  <c r="A138" i="53"/>
  <c r="A8" i="37"/>
  <c r="A8" i="53"/>
  <c r="A18" i="37"/>
  <c r="A18" i="53"/>
  <c r="A30" i="37"/>
  <c r="A30" i="53"/>
  <c r="A39" i="37"/>
  <c r="A39" i="53"/>
  <c r="A50" i="37"/>
  <c r="A50" i="53"/>
  <c r="I66" i="37"/>
  <c r="J66" i="37" s="1"/>
  <c r="K66" i="37" s="1"/>
  <c r="L66" i="37" s="1"/>
  <c r="L141" i="40"/>
  <c r="M141" i="40"/>
  <c r="L144" i="40"/>
  <c r="M144" i="40"/>
  <c r="AG153" i="40"/>
  <c r="L153" i="40"/>
  <c r="M153" i="40"/>
  <c r="I81" i="37"/>
  <c r="J81" i="37" s="1"/>
  <c r="K81" i="37" s="1"/>
  <c r="L81" i="37" s="1"/>
  <c r="L156" i="40"/>
  <c r="M156" i="40"/>
  <c r="N156" i="40" s="1"/>
  <c r="A140" i="53"/>
  <c r="A11" i="37"/>
  <c r="A11" i="53"/>
  <c r="A19" i="37"/>
  <c r="A19" i="53"/>
  <c r="A31" i="37"/>
  <c r="A31" i="53"/>
  <c r="A40" i="37"/>
  <c r="A40" i="53"/>
  <c r="A51" i="37"/>
  <c r="A51" i="53"/>
  <c r="I67" i="37"/>
  <c r="J67" i="37" s="1"/>
  <c r="M142" i="40"/>
  <c r="L142" i="40"/>
  <c r="A38" i="37"/>
  <c r="A38" i="53"/>
  <c r="A9" i="37"/>
  <c r="A9" i="53"/>
  <c r="L145" i="40"/>
  <c r="M145" i="40"/>
  <c r="AG154" i="40"/>
  <c r="M154" i="40"/>
  <c r="L154" i="40"/>
  <c r="A12" i="37"/>
  <c r="A12" i="53"/>
  <c r="A20" i="37"/>
  <c r="A20" i="53"/>
  <c r="A32" i="37"/>
  <c r="A32" i="53"/>
  <c r="A41" i="37"/>
  <c r="A41" i="53"/>
  <c r="A52" i="37"/>
  <c r="A52" i="53"/>
  <c r="L135" i="40"/>
  <c r="M135" i="40"/>
  <c r="I68" i="37"/>
  <c r="J68" i="37" s="1"/>
  <c r="K68" i="37" s="1"/>
  <c r="L68" i="37" s="1"/>
  <c r="R68" i="37" s="1"/>
  <c r="L143" i="40"/>
  <c r="M143" i="40"/>
  <c r="A45" i="37"/>
  <c r="A45" i="53"/>
  <c r="L146" i="40"/>
  <c r="M146" i="40"/>
  <c r="L157" i="40"/>
  <c r="M157" i="40"/>
  <c r="A13" i="37"/>
  <c r="A13" i="53"/>
  <c r="A23" i="37"/>
  <c r="A23" i="53"/>
  <c r="A33" i="37"/>
  <c r="A33" i="53"/>
  <c r="A42" i="37"/>
  <c r="A42" i="53"/>
  <c r="A53" i="37"/>
  <c r="A53" i="53"/>
  <c r="L136" i="40"/>
  <c r="M136" i="40"/>
  <c r="A137" i="53"/>
  <c r="A10" i="37"/>
  <c r="A10" i="53"/>
  <c r="L147" i="40"/>
  <c r="M147" i="40"/>
  <c r="A14" i="37"/>
  <c r="A14" i="53"/>
  <c r="A24" i="37"/>
  <c r="A24" i="53"/>
  <c r="A34" i="37"/>
  <c r="A34" i="53"/>
  <c r="A43" i="37"/>
  <c r="A43" i="53"/>
  <c r="A54" i="37"/>
  <c r="A54" i="53"/>
  <c r="AG137" i="40"/>
  <c r="L137" i="40"/>
  <c r="M137" i="40"/>
  <c r="AG148" i="40"/>
  <c r="L148" i="40"/>
  <c r="M148" i="40"/>
  <c r="I83" i="37"/>
  <c r="J83" i="37" s="1"/>
  <c r="M158" i="40"/>
  <c r="L158" i="40"/>
  <c r="A132" i="53"/>
  <c r="A15" i="37"/>
  <c r="A15" i="53"/>
  <c r="A25" i="37"/>
  <c r="A25" i="53"/>
  <c r="A35" i="37"/>
  <c r="A35" i="53"/>
  <c r="A47" i="37"/>
  <c r="A47" i="53"/>
  <c r="A55" i="37"/>
  <c r="A55" i="53"/>
  <c r="M138" i="40"/>
  <c r="L138" i="40"/>
  <c r="A136" i="53"/>
  <c r="A46" i="37"/>
  <c r="A46" i="53"/>
  <c r="M150" i="40"/>
  <c r="L150" i="40"/>
  <c r="A133" i="53"/>
  <c r="A58" i="37"/>
  <c r="A58" i="53"/>
  <c r="A16" i="37"/>
  <c r="A16" i="53"/>
  <c r="A26" i="37"/>
  <c r="A26" i="53"/>
  <c r="A36" i="37"/>
  <c r="A36" i="53"/>
  <c r="A48" i="37"/>
  <c r="A48" i="53"/>
  <c r="A56" i="37"/>
  <c r="A56" i="53"/>
  <c r="J64" i="37"/>
  <c r="L139" i="40"/>
  <c r="M139" i="40"/>
  <c r="A5" i="37"/>
  <c r="A5" i="53"/>
  <c r="A135" i="53"/>
  <c r="AG151" i="40"/>
  <c r="L151" i="40"/>
  <c r="M151" i="40"/>
  <c r="L155" i="40"/>
  <c r="M155" i="40"/>
  <c r="L159" i="40"/>
  <c r="M159" i="40"/>
  <c r="I59" i="37"/>
  <c r="J59" i="37" s="1"/>
  <c r="B59" i="53"/>
  <c r="AG118" i="40"/>
  <c r="G5" i="26"/>
  <c r="AG110" i="40"/>
  <c r="J8" i="26"/>
  <c r="G12" i="26"/>
  <c r="K14" i="26"/>
  <c r="K11" i="26"/>
  <c r="J17" i="26"/>
  <c r="AL89" i="40"/>
  <c r="I4" i="26"/>
  <c r="J21" i="26"/>
  <c r="G28" i="26"/>
  <c r="AL60" i="40"/>
  <c r="K18" i="26"/>
  <c r="AG56" i="40"/>
  <c r="I8" i="26"/>
  <c r="G18" i="26"/>
  <c r="G6" i="26"/>
  <c r="G10" i="26"/>
  <c r="I12" i="26"/>
  <c r="G22" i="26"/>
  <c r="I9" i="26"/>
  <c r="G13" i="26"/>
  <c r="I17" i="26"/>
  <c r="I21" i="26"/>
  <c r="AK29" i="40"/>
  <c r="AK31" i="40"/>
  <c r="K9" i="26"/>
  <c r="J4" i="26"/>
  <c r="AL35" i="40"/>
  <c r="AK73" i="40"/>
  <c r="K20" i="26"/>
  <c r="G8" i="26"/>
  <c r="J18" i="26"/>
  <c r="K6" i="26"/>
  <c r="I10" i="26"/>
  <c r="J12" i="26"/>
  <c r="I22" i="26"/>
  <c r="G11" i="26"/>
  <c r="I13" i="26"/>
  <c r="J19" i="26"/>
  <c r="J27" i="26"/>
  <c r="W46" i="40"/>
  <c r="W54" i="40"/>
  <c r="W78" i="40"/>
  <c r="W96" i="40"/>
  <c r="W104" i="40"/>
  <c r="AL49" i="40"/>
  <c r="AL81" i="40"/>
  <c r="AI36" i="40"/>
  <c r="V285" i="40"/>
  <c r="K22" i="26"/>
  <c r="I29" i="37"/>
  <c r="J29" i="37" s="1"/>
  <c r="I27" i="26"/>
  <c r="G14" i="26"/>
  <c r="K27" i="26"/>
  <c r="W110" i="40"/>
  <c r="I24" i="26"/>
  <c r="AG292" i="40"/>
  <c r="C36" i="46"/>
  <c r="G52" i="26"/>
  <c r="I8" i="9"/>
  <c r="I23" i="26"/>
  <c r="K24" i="26"/>
  <c r="L55" i="26"/>
  <c r="J23" i="26"/>
  <c r="K4" i="26"/>
  <c r="K52" i="26"/>
  <c r="K17" i="26"/>
  <c r="I58" i="9"/>
  <c r="G416" i="40" s="1"/>
  <c r="W416" i="40" s="1"/>
  <c r="F55" i="26"/>
  <c r="G208" i="40" s="1"/>
  <c r="F62" i="26"/>
  <c r="G222" i="40" s="1"/>
  <c r="W39" i="40"/>
  <c r="J53" i="26"/>
  <c r="AG84" i="40"/>
  <c r="J20" i="26"/>
  <c r="I52" i="26"/>
  <c r="AG72" i="40"/>
  <c r="K19" i="26"/>
  <c r="K21" i="26"/>
  <c r="I53" i="26"/>
  <c r="G24" i="26"/>
  <c r="J28" i="26"/>
  <c r="K23" i="26"/>
  <c r="G326" i="40"/>
  <c r="G332" i="40" s="1"/>
  <c r="D9" i="2" s="1"/>
  <c r="W92" i="40"/>
  <c r="AI89" i="40"/>
  <c r="L24" i="40"/>
  <c r="E6" i="2" s="1"/>
  <c r="AG134" i="40"/>
  <c r="AK63" i="40"/>
  <c r="AK77" i="40"/>
  <c r="AI77" i="40"/>
  <c r="AI38" i="40"/>
  <c r="AI76" i="40"/>
  <c r="AK30" i="40"/>
  <c r="I13" i="37"/>
  <c r="J13" i="37" s="1"/>
  <c r="K13" i="37" s="1"/>
  <c r="L13" i="37" s="1"/>
  <c r="T13" i="37" s="1"/>
  <c r="C25" i="46"/>
  <c r="D25" i="46" s="1"/>
  <c r="C26" i="46"/>
  <c r="E49" i="46"/>
  <c r="I11" i="37"/>
  <c r="C29" i="46"/>
  <c r="I10" i="37"/>
  <c r="M10" i="37" s="1"/>
  <c r="C31" i="46"/>
  <c r="I12" i="37"/>
  <c r="C30" i="46"/>
  <c r="W8" i="40"/>
  <c r="W70" i="40"/>
  <c r="W108" i="40"/>
  <c r="I26" i="37"/>
  <c r="J26" i="37" s="1"/>
  <c r="K26" i="37" s="1"/>
  <c r="L26" i="37" s="1"/>
  <c r="R26" i="37" s="1"/>
  <c r="W292" i="40"/>
  <c r="W323" i="40"/>
  <c r="W56" i="40"/>
  <c r="I7" i="37"/>
  <c r="J7" i="37" s="1"/>
  <c r="AG60" i="40"/>
  <c r="W128" i="40"/>
  <c r="W336" i="40"/>
  <c r="W209" i="40"/>
  <c r="W324" i="40"/>
  <c r="W33" i="40"/>
  <c r="W60" i="40"/>
  <c r="W354" i="40"/>
  <c r="W48" i="40"/>
  <c r="W88" i="40"/>
  <c r="W80" i="40"/>
  <c r="W98" i="40"/>
  <c r="AG48" i="40"/>
  <c r="I31" i="37"/>
  <c r="J31" i="37" s="1"/>
  <c r="K31" i="37" s="1"/>
  <c r="L31" i="37" s="1"/>
  <c r="T31" i="37" s="1"/>
  <c r="W43" i="40"/>
  <c r="I40" i="37"/>
  <c r="J40" i="37" s="1"/>
  <c r="K40" i="37" s="1"/>
  <c r="AG43" i="40"/>
  <c r="W303" i="40"/>
  <c r="W320" i="40"/>
  <c r="W316" i="40"/>
  <c r="I54" i="37"/>
  <c r="J54" i="37" s="1"/>
  <c r="K54" i="37" s="1"/>
  <c r="L54" i="37" s="1"/>
  <c r="R54" i="37" s="1"/>
  <c r="W118" i="40"/>
  <c r="W126" i="40"/>
  <c r="I43" i="37"/>
  <c r="J43" i="37" s="1"/>
  <c r="W76" i="40"/>
  <c r="I39" i="37"/>
  <c r="J39" i="37" s="1"/>
  <c r="AG108" i="40"/>
  <c r="AG66" i="40"/>
  <c r="W317" i="40"/>
  <c r="AL40" i="40"/>
  <c r="W74" i="40"/>
  <c r="AG106" i="40"/>
  <c r="I20" i="37"/>
  <c r="J20" i="37" s="1"/>
  <c r="K20" i="37" s="1"/>
  <c r="I32" i="37"/>
  <c r="J32" i="37" s="1"/>
  <c r="W307" i="40"/>
  <c r="I41" i="37"/>
  <c r="J41" i="37" s="1"/>
  <c r="K41" i="37" s="1"/>
  <c r="L41" i="37" s="1"/>
  <c r="R41" i="37" s="1"/>
  <c r="W339" i="40"/>
  <c r="W4" i="40"/>
  <c r="AG74" i="40"/>
  <c r="W94" i="40"/>
  <c r="AL48" i="40"/>
  <c r="W45" i="40"/>
  <c r="V310" i="40"/>
  <c r="N8" i="2" s="1"/>
  <c r="W297" i="40"/>
  <c r="V332" i="40"/>
  <c r="N9" i="2" s="1"/>
  <c r="W341" i="40"/>
  <c r="W64" i="40"/>
  <c r="I38" i="37"/>
  <c r="J38" i="37" s="1"/>
  <c r="K38" i="37" s="1"/>
  <c r="L38" i="37" s="1"/>
  <c r="W35" i="40"/>
  <c r="V348" i="40"/>
  <c r="N10" i="2" s="1"/>
  <c r="I33" i="37"/>
  <c r="AG24" i="40"/>
  <c r="AG92" i="40"/>
  <c r="W360" i="40"/>
  <c r="W114" i="40"/>
  <c r="I24" i="37"/>
  <c r="J24" i="37" s="1"/>
  <c r="K24" i="37" s="1"/>
  <c r="L24" i="37" s="1"/>
  <c r="T24" i="37" s="1"/>
  <c r="I18" i="37"/>
  <c r="J18" i="37" s="1"/>
  <c r="K18" i="37" s="1"/>
  <c r="L18" i="37" s="1"/>
  <c r="Q18" i="37" s="1"/>
  <c r="W66" i="40"/>
  <c r="W329" i="40"/>
  <c r="V418" i="40"/>
  <c r="N14" i="2" s="1"/>
  <c r="AK40" i="40"/>
  <c r="AK36" i="40"/>
  <c r="AI73" i="40"/>
  <c r="AL34" i="40"/>
  <c r="AG64" i="40"/>
  <c r="I14" i="37"/>
  <c r="AI48" i="40"/>
  <c r="AG112" i="40"/>
  <c r="W380" i="40"/>
  <c r="W52" i="40"/>
  <c r="AG39" i="40"/>
  <c r="AG52" i="40"/>
  <c r="I30" i="37"/>
  <c r="I48" i="37"/>
  <c r="J48" i="37" s="1"/>
  <c r="W318" i="40"/>
  <c r="I23" i="37"/>
  <c r="J23" i="37" s="1"/>
  <c r="I55" i="37"/>
  <c r="J55" i="37" s="1"/>
  <c r="I51" i="37"/>
  <c r="J51" i="37" s="1"/>
  <c r="I36" i="37"/>
  <c r="J36" i="37" s="1"/>
  <c r="W84" i="40"/>
  <c r="W306" i="40"/>
  <c r="W41" i="40"/>
  <c r="W90" i="40"/>
  <c r="W100" i="40"/>
  <c r="W112" i="40"/>
  <c r="W106" i="40"/>
  <c r="AG445" i="40"/>
  <c r="W353" i="40"/>
  <c r="AG82" i="40"/>
  <c r="W337" i="40"/>
  <c r="AG90" i="40"/>
  <c r="W120" i="40"/>
  <c r="W82" i="40"/>
  <c r="W304" i="40"/>
  <c r="T287" i="40"/>
  <c r="L7" i="2" s="1"/>
  <c r="L17" i="2" s="1"/>
  <c r="L22" i="2" s="1"/>
  <c r="W305" i="40"/>
  <c r="W298" i="40"/>
  <c r="W319" i="40"/>
  <c r="W363" i="40"/>
  <c r="W359" i="40"/>
  <c r="W72" i="40"/>
  <c r="W352" i="40"/>
  <c r="V367" i="40"/>
  <c r="N11" i="2" s="1"/>
  <c r="I42" i="37"/>
  <c r="J42" i="37" s="1"/>
  <c r="W102" i="40"/>
  <c r="I25" i="37"/>
  <c r="J25" i="37" s="1"/>
  <c r="W300" i="40"/>
  <c r="G29" i="26"/>
  <c r="K29" i="26"/>
  <c r="J15" i="26"/>
  <c r="G15" i="26"/>
  <c r="I15" i="26"/>
  <c r="W124" i="40"/>
  <c r="I56" i="37"/>
  <c r="W130" i="40"/>
  <c r="AG116" i="40"/>
  <c r="I49" i="37"/>
  <c r="J49" i="37" s="1"/>
  <c r="I34" i="37"/>
  <c r="J34" i="37" s="1"/>
  <c r="K34" i="37" s="1"/>
  <c r="AG86" i="40"/>
  <c r="W86" i="40"/>
  <c r="AG149" i="40"/>
  <c r="W149" i="40"/>
  <c r="I74" i="37"/>
  <c r="J74" i="37" s="1"/>
  <c r="K74" i="37" s="1"/>
  <c r="K16" i="26"/>
  <c r="I16" i="26"/>
  <c r="G16" i="26"/>
  <c r="J16" i="26"/>
  <c r="W116" i="40"/>
  <c r="AG323" i="40"/>
  <c r="G50" i="26"/>
  <c r="I50" i="26"/>
  <c r="K50" i="26"/>
  <c r="Z15" i="2"/>
  <c r="AG435" i="40"/>
  <c r="V435" i="40"/>
  <c r="W425" i="40"/>
  <c r="AG371" i="40"/>
  <c r="W371" i="40"/>
  <c r="G397" i="40"/>
  <c r="AG124" i="40"/>
  <c r="W68" i="40"/>
  <c r="AG68" i="40"/>
  <c r="W344" i="40"/>
  <c r="I29" i="26"/>
  <c r="V445" i="40"/>
  <c r="N16" i="2" s="1"/>
  <c r="AG102" i="40"/>
  <c r="J7" i="26"/>
  <c r="G7" i="26"/>
  <c r="K7" i="26"/>
  <c r="I7" i="26"/>
  <c r="G310" i="40"/>
  <c r="W293" i="40"/>
  <c r="G51" i="26"/>
  <c r="K51" i="26"/>
  <c r="J51" i="26"/>
  <c r="G26" i="26"/>
  <c r="K26" i="26"/>
  <c r="I26" i="26"/>
  <c r="G25" i="26"/>
  <c r="K25" i="26"/>
  <c r="J25" i="26"/>
  <c r="I5" i="26"/>
  <c r="J5" i="26"/>
  <c r="C8" i="4"/>
  <c r="H16" i="26" s="1"/>
  <c r="I11" i="4"/>
  <c r="C9" i="4" s="1"/>
  <c r="P92" i="37" s="1"/>
  <c r="AG362" i="40"/>
  <c r="W362" i="40"/>
  <c r="G367" i="40"/>
  <c r="D11" i="2" s="1"/>
  <c r="W405" i="40"/>
  <c r="V410" i="40"/>
  <c r="AG410" i="40"/>
  <c r="W58" i="40"/>
  <c r="I16" i="37"/>
  <c r="J16" i="37" s="1"/>
  <c r="AG45" i="40"/>
  <c r="F45" i="40"/>
  <c r="I8" i="37"/>
  <c r="AG62" i="40"/>
  <c r="W62" i="40"/>
  <c r="V218" i="40"/>
  <c r="W315" i="40"/>
  <c r="O89" i="37"/>
  <c r="AK67" i="40"/>
  <c r="AL59" i="40"/>
  <c r="H109" i="40"/>
  <c r="AK109" i="40" s="1"/>
  <c r="H111" i="40"/>
  <c r="AI111" i="40" s="1"/>
  <c r="H107" i="40"/>
  <c r="AK107" i="40" s="1"/>
  <c r="AK85" i="40"/>
  <c r="AI83" i="40"/>
  <c r="AK123" i="40"/>
  <c r="AL117" i="40"/>
  <c r="AL127" i="40"/>
  <c r="AL125" i="40"/>
  <c r="AK119" i="40"/>
  <c r="AK115" i="40"/>
  <c r="AL66" i="40"/>
  <c r="AK58" i="40"/>
  <c r="W321" i="40"/>
  <c r="W356" i="40"/>
  <c r="W364" i="40"/>
  <c r="AG307" i="40"/>
  <c r="AL112" i="40"/>
  <c r="AK120" i="40"/>
  <c r="W294" i="40"/>
  <c r="W50" i="40"/>
  <c r="AI86" i="40"/>
  <c r="AI102" i="40"/>
  <c r="AI92" i="40"/>
  <c r="AI121" i="40"/>
  <c r="H110" i="40"/>
  <c r="AI110" i="40" s="1"/>
  <c r="H106" i="40"/>
  <c r="H108" i="40"/>
  <c r="AL108" i="40" s="1"/>
  <c r="AI126" i="40"/>
  <c r="AI118" i="40"/>
  <c r="AK114" i="40"/>
  <c r="AK116" i="40"/>
  <c r="W37" i="40"/>
  <c r="AG37" i="40"/>
  <c r="I9" i="37"/>
  <c r="M9" i="37" s="1"/>
  <c r="AG8" i="40"/>
  <c r="AG364" i="40"/>
  <c r="AG155" i="40"/>
  <c r="I80" i="37"/>
  <c r="AG157" i="40"/>
  <c r="I82" i="37"/>
  <c r="AG159" i="40"/>
  <c r="I84" i="37"/>
  <c r="W134" i="40"/>
  <c r="M24" i="40"/>
  <c r="F6" i="2" s="1"/>
  <c r="X287" i="40"/>
  <c r="P7" i="2" s="1"/>
  <c r="P17" i="2" s="1"/>
  <c r="P22" i="2" s="1"/>
  <c r="V397" i="40"/>
  <c r="N12" i="2" s="1"/>
  <c r="P287" i="40"/>
  <c r="H7" i="2" s="1"/>
  <c r="H17" i="2" s="1"/>
  <c r="H21" i="2" s="1"/>
  <c r="Y287" i="40"/>
  <c r="Q7" i="2" s="1"/>
  <c r="Q17" i="2" s="1"/>
  <c r="Q22" i="2" s="1"/>
  <c r="W361" i="40"/>
  <c r="I27" i="9"/>
  <c r="W144" i="40"/>
  <c r="W159" i="40"/>
  <c r="W145" i="40"/>
  <c r="AG135" i="40"/>
  <c r="U287" i="40"/>
  <c r="M7" i="2" s="1"/>
  <c r="M17" i="2" s="1"/>
  <c r="W156" i="40"/>
  <c r="W139" i="40"/>
  <c r="W158" i="40"/>
  <c r="W141" i="40"/>
  <c r="W138" i="40"/>
  <c r="AF287" i="40"/>
  <c r="Z7" i="2" s="1"/>
  <c r="F5" i="54" s="1"/>
  <c r="I69" i="37"/>
  <c r="J69" i="37" s="1"/>
  <c r="AG144" i="40"/>
  <c r="W140" i="40"/>
  <c r="I78" i="37"/>
  <c r="AG143" i="40"/>
  <c r="N151" i="40"/>
  <c r="I76" i="37"/>
  <c r="AE287" i="40"/>
  <c r="X7" i="2" s="1"/>
  <c r="E5" i="54" s="1"/>
  <c r="AG139" i="40"/>
  <c r="W153" i="40"/>
  <c r="I79" i="37"/>
  <c r="J79" i="37" s="1"/>
  <c r="W148" i="40"/>
  <c r="AG140" i="40"/>
  <c r="W136" i="40"/>
  <c r="J61" i="37"/>
  <c r="J63" i="37"/>
  <c r="AG158" i="40"/>
  <c r="W157" i="40"/>
  <c r="W150" i="40"/>
  <c r="AG146" i="40"/>
  <c r="AG138" i="40"/>
  <c r="W142" i="40"/>
  <c r="W135" i="40"/>
  <c r="W143" i="40"/>
  <c r="W146" i="40"/>
  <c r="W147" i="40"/>
  <c r="AG142" i="40"/>
  <c r="AG136" i="40"/>
  <c r="AG147" i="40"/>
  <c r="AG145" i="40"/>
  <c r="I72" i="37"/>
  <c r="J72" i="37" s="1"/>
  <c r="I75" i="37"/>
  <c r="J75" i="37" s="1"/>
  <c r="K75" i="37" s="1"/>
  <c r="AG156" i="40"/>
  <c r="W137" i="40"/>
  <c r="I71" i="37"/>
  <c r="I73" i="37"/>
  <c r="J73" i="37" s="1"/>
  <c r="K73" i="37" s="1"/>
  <c r="L73" i="37" s="1"/>
  <c r="T73" i="37" s="1"/>
  <c r="W155" i="40"/>
  <c r="V206" i="40"/>
  <c r="AG152" i="40"/>
  <c r="AG141" i="40"/>
  <c r="W154" i="40"/>
  <c r="W338" i="40"/>
  <c r="I65" i="37"/>
  <c r="W152" i="40"/>
  <c r="I70" i="37"/>
  <c r="Z5" i="2"/>
  <c r="AC5" i="2" s="1"/>
  <c r="N5" i="2"/>
  <c r="AG336" i="40"/>
  <c r="AG150" i="40"/>
  <c r="W151" i="40"/>
  <c r="G348" i="40"/>
  <c r="AD418" i="40"/>
  <c r="V14" i="2" s="1"/>
  <c r="D12" i="54" s="1"/>
  <c r="AE418" i="40"/>
  <c r="X14" i="2" s="1"/>
  <c r="E12" i="54" s="1"/>
  <c r="AF418" i="40"/>
  <c r="Z14" i="2" s="1"/>
  <c r="F12" i="54" s="1"/>
  <c r="W345" i="40"/>
  <c r="Q50" i="37"/>
  <c r="L22" i="37"/>
  <c r="J28" i="37"/>
  <c r="AD287" i="40"/>
  <c r="V7" i="2" s="1"/>
  <c r="D5" i="54" s="1"/>
  <c r="V24" i="40"/>
  <c r="K37" i="37"/>
  <c r="L37" i="37" s="1"/>
  <c r="J60" i="37"/>
  <c r="K60" i="37" s="1"/>
  <c r="L60" i="37" s="1"/>
  <c r="K53" i="37"/>
  <c r="L53" i="37" s="1"/>
  <c r="K34" i="10"/>
  <c r="I28" i="9"/>
  <c r="K45" i="10"/>
  <c r="I40" i="10"/>
  <c r="I34" i="10" s="1"/>
  <c r="AG29" i="40"/>
  <c r="W29" i="40"/>
  <c r="I45" i="10"/>
  <c r="I56" i="10"/>
  <c r="P53" i="37"/>
  <c r="E6" i="4"/>
  <c r="H17" i="26"/>
  <c r="H23" i="26"/>
  <c r="H13" i="26"/>
  <c r="D6" i="4"/>
  <c r="M52" i="37"/>
  <c r="J52" i="37"/>
  <c r="K52" i="37" s="1"/>
  <c r="AG122" i="40"/>
  <c r="W122" i="40"/>
  <c r="M7" i="37"/>
  <c r="AG31" i="40"/>
  <c r="W31" i="40"/>
  <c r="AK55" i="40"/>
  <c r="AL55" i="40"/>
  <c r="AI63" i="40"/>
  <c r="AK42" i="40"/>
  <c r="AK41" i="40"/>
  <c r="AL38" i="40"/>
  <c r="AL91" i="40"/>
  <c r="AK91" i="40"/>
  <c r="AL41" i="40"/>
  <c r="AL54" i="40"/>
  <c r="AL96" i="40"/>
  <c r="AL37" i="40"/>
  <c r="AI54" i="40"/>
  <c r="AI49" i="40"/>
  <c r="AL61" i="40"/>
  <c r="AK96" i="40"/>
  <c r="AK39" i="40"/>
  <c r="AL76" i="40"/>
  <c r="AK90" i="40"/>
  <c r="AL88" i="40"/>
  <c r="AL80" i="40"/>
  <c r="AI39" i="40"/>
  <c r="AK37" i="40"/>
  <c r="AL42" i="40"/>
  <c r="AK61" i="40"/>
  <c r="AL90" i="40"/>
  <c r="AI80" i="40"/>
  <c r="O16" i="2" l="1"/>
  <c r="AD16" i="2"/>
  <c r="O5" i="2"/>
  <c r="AD5" i="2"/>
  <c r="C7" i="54"/>
  <c r="F13" i="54"/>
  <c r="T50" i="37"/>
  <c r="R50" i="37"/>
  <c r="O22" i="37"/>
  <c r="N50" i="37"/>
  <c r="K35" i="37"/>
  <c r="L35" i="37" s="1"/>
  <c r="Q35" i="37" s="1"/>
  <c r="V17" i="2"/>
  <c r="W222" i="40"/>
  <c r="C34" i="54"/>
  <c r="K21" i="37"/>
  <c r="L21" i="37" s="1"/>
  <c r="AG208" i="40"/>
  <c r="C33" i="54"/>
  <c r="M23" i="26"/>
  <c r="AL32" i="40"/>
  <c r="AK33" i="40"/>
  <c r="N149" i="40"/>
  <c r="N124" i="40"/>
  <c r="N98" i="40"/>
  <c r="N37" i="40"/>
  <c r="N64" i="40"/>
  <c r="N66" i="40"/>
  <c r="N31" i="40"/>
  <c r="N90" i="40"/>
  <c r="E217" i="40"/>
  <c r="W217" i="40" s="1"/>
  <c r="P21" i="37"/>
  <c r="O109" i="37"/>
  <c r="O105" i="37"/>
  <c r="O113" i="37"/>
  <c r="O125" i="37"/>
  <c r="O117" i="37"/>
  <c r="O126" i="37"/>
  <c r="O101" i="37"/>
  <c r="O97" i="37"/>
  <c r="O103" i="37"/>
  <c r="N94" i="37"/>
  <c r="P98" i="37"/>
  <c r="N111" i="37"/>
  <c r="N119" i="37"/>
  <c r="P105" i="37"/>
  <c r="N95" i="37"/>
  <c r="P107" i="37"/>
  <c r="N114" i="37"/>
  <c r="P99" i="37"/>
  <c r="N129" i="37"/>
  <c r="N96" i="37"/>
  <c r="P128" i="37"/>
  <c r="P103" i="37"/>
  <c r="P126" i="37"/>
  <c r="N121" i="37"/>
  <c r="N118" i="37"/>
  <c r="P120" i="37"/>
  <c r="P116" i="37"/>
  <c r="N97" i="37"/>
  <c r="P67" i="37"/>
  <c r="N29" i="40"/>
  <c r="N45" i="40"/>
  <c r="N96" i="40"/>
  <c r="N48" i="40"/>
  <c r="N94" i="40"/>
  <c r="N92" i="40"/>
  <c r="O93" i="37"/>
  <c r="O96" i="37"/>
  <c r="O115" i="37"/>
  <c r="O128" i="37"/>
  <c r="O121" i="37"/>
  <c r="O104" i="37"/>
  <c r="O118" i="37"/>
  <c r="O114" i="37"/>
  <c r="O122" i="37"/>
  <c r="O107" i="37"/>
  <c r="P93" i="37"/>
  <c r="P117" i="37"/>
  <c r="P100" i="37"/>
  <c r="P96" i="37"/>
  <c r="P106" i="37"/>
  <c r="P125" i="37"/>
  <c r="P122" i="37"/>
  <c r="P118" i="37"/>
  <c r="N107" i="37"/>
  <c r="P110" i="37"/>
  <c r="P123" i="37"/>
  <c r="P127" i="37"/>
  <c r="N116" i="37"/>
  <c r="P114" i="37"/>
  <c r="P108" i="37"/>
  <c r="N124" i="37"/>
  <c r="P121" i="37"/>
  <c r="P101" i="37"/>
  <c r="M129" i="37"/>
  <c r="O94" i="37"/>
  <c r="O95" i="37"/>
  <c r="O120" i="37"/>
  <c r="O100" i="37"/>
  <c r="O127" i="37"/>
  <c r="O119" i="37"/>
  <c r="O108" i="37"/>
  <c r="O123" i="37"/>
  <c r="O106" i="37"/>
  <c r="N93" i="37"/>
  <c r="N125" i="37"/>
  <c r="N110" i="37"/>
  <c r="N117" i="37"/>
  <c r="N128" i="37"/>
  <c r="N108" i="37"/>
  <c r="P112" i="37"/>
  <c r="P124" i="37"/>
  <c r="P102" i="37"/>
  <c r="P115" i="37"/>
  <c r="N105" i="37"/>
  <c r="P95" i="37"/>
  <c r="N122" i="37"/>
  <c r="P113" i="37"/>
  <c r="P129" i="37"/>
  <c r="N104" i="37"/>
  <c r="N109" i="37"/>
  <c r="N102" i="37"/>
  <c r="N32" i="37"/>
  <c r="N158" i="40"/>
  <c r="N78" i="40"/>
  <c r="N118" i="40"/>
  <c r="N58" i="40"/>
  <c r="N84" i="40"/>
  <c r="N86" i="40"/>
  <c r="N110" i="40"/>
  <c r="N35" i="40"/>
  <c r="N116" i="40"/>
  <c r="O102" i="37"/>
  <c r="O124" i="37"/>
  <c r="O110" i="37"/>
  <c r="O129" i="37"/>
  <c r="O116" i="37"/>
  <c r="O98" i="37"/>
  <c r="O111" i="37"/>
  <c r="O112" i="37"/>
  <c r="O99" i="37"/>
  <c r="P94" i="37"/>
  <c r="N100" i="37"/>
  <c r="N101" i="37"/>
  <c r="V101" i="37" s="1"/>
  <c r="W101" i="37" s="1"/>
  <c r="N115" i="37"/>
  <c r="N123" i="37"/>
  <c r="N127" i="37"/>
  <c r="N99" i="37"/>
  <c r="N126" i="37"/>
  <c r="P104" i="37"/>
  <c r="P97" i="37"/>
  <c r="P119" i="37"/>
  <c r="N106" i="37"/>
  <c r="P109" i="37"/>
  <c r="N112" i="37"/>
  <c r="N120" i="37"/>
  <c r="N98" i="37"/>
  <c r="N113" i="37"/>
  <c r="N103" i="37"/>
  <c r="P111" i="37"/>
  <c r="B248" i="53"/>
  <c r="B253" i="53" s="1"/>
  <c r="K47" i="37"/>
  <c r="L47" i="37" s="1"/>
  <c r="N106" i="40"/>
  <c r="N88" i="40"/>
  <c r="N56" i="40"/>
  <c r="N43" i="40"/>
  <c r="N100" i="40"/>
  <c r="N74" i="40"/>
  <c r="N112" i="40"/>
  <c r="K27" i="37"/>
  <c r="L27" i="37" s="1"/>
  <c r="N147" i="40"/>
  <c r="N142" i="40"/>
  <c r="J45" i="37"/>
  <c r="K45" i="37" s="1"/>
  <c r="L45" i="37" s="1"/>
  <c r="S45" i="37" s="1"/>
  <c r="J44" i="37"/>
  <c r="K44" i="37" s="1"/>
  <c r="L44" i="37" s="1"/>
  <c r="M44" i="37"/>
  <c r="O44" i="37"/>
  <c r="J14" i="37"/>
  <c r="N14" i="37" s="1"/>
  <c r="M14" i="37"/>
  <c r="N159" i="40"/>
  <c r="N157" i="40"/>
  <c r="N143" i="40"/>
  <c r="N153" i="40"/>
  <c r="N108" i="40"/>
  <c r="N120" i="40"/>
  <c r="N33" i="40"/>
  <c r="N114" i="40"/>
  <c r="N72" i="40"/>
  <c r="N134" i="40"/>
  <c r="N76" i="40"/>
  <c r="N62" i="40"/>
  <c r="N50" i="40"/>
  <c r="N135" i="40"/>
  <c r="N144" i="40"/>
  <c r="N60" i="40"/>
  <c r="N46" i="40"/>
  <c r="N104" i="40"/>
  <c r="N68" i="40"/>
  <c r="N54" i="40"/>
  <c r="N41" i="40"/>
  <c r="N82" i="40"/>
  <c r="N126" i="40"/>
  <c r="N52" i="40"/>
  <c r="N130" i="40"/>
  <c r="J56" i="37"/>
  <c r="N56" i="37" s="1"/>
  <c r="M56" i="37"/>
  <c r="K19" i="37"/>
  <c r="L19" i="37" s="1"/>
  <c r="T19" i="37" s="1"/>
  <c r="K46" i="37"/>
  <c r="L46" i="37" s="1"/>
  <c r="Q46" i="37" s="1"/>
  <c r="K15" i="37"/>
  <c r="L15" i="37" s="1"/>
  <c r="Q15" i="37" s="1"/>
  <c r="O15" i="37"/>
  <c r="K67" i="37"/>
  <c r="L67" i="37" s="1"/>
  <c r="Q67" i="37" s="1"/>
  <c r="M13" i="26"/>
  <c r="W208" i="40"/>
  <c r="O67" i="37"/>
  <c r="K59" i="37"/>
  <c r="L59" i="37" s="1"/>
  <c r="R59" i="37" s="1"/>
  <c r="N155" i="40"/>
  <c r="K29" i="37"/>
  <c r="L29" i="37" s="1"/>
  <c r="R29" i="37" s="1"/>
  <c r="J76" i="37"/>
  <c r="K76" i="37" s="1"/>
  <c r="L76" i="37" s="1"/>
  <c r="Q76" i="37" s="1"/>
  <c r="M76" i="37"/>
  <c r="N139" i="40"/>
  <c r="N137" i="40"/>
  <c r="N145" i="40"/>
  <c r="N136" i="40"/>
  <c r="T68" i="37"/>
  <c r="S68" i="37"/>
  <c r="Q68" i="37"/>
  <c r="AG222" i="40"/>
  <c r="N148" i="40"/>
  <c r="N154" i="40"/>
  <c r="N150" i="40"/>
  <c r="N152" i="40"/>
  <c r="N146" i="40"/>
  <c r="AL120" i="40"/>
  <c r="M206" i="40"/>
  <c r="M287" i="40" s="1"/>
  <c r="F7" i="2" s="1"/>
  <c r="N141" i="40"/>
  <c r="N140" i="40"/>
  <c r="L206" i="40"/>
  <c r="L287" i="40" s="1"/>
  <c r="E7" i="2" s="1"/>
  <c r="N138" i="40"/>
  <c r="K64" i="37"/>
  <c r="L64" i="37" s="1"/>
  <c r="T64" i="37" s="1"/>
  <c r="M59" i="37"/>
  <c r="O32" i="37"/>
  <c r="P59" i="37"/>
  <c r="N88" i="37"/>
  <c r="D11" i="4"/>
  <c r="N59" i="37"/>
  <c r="P47" i="37"/>
  <c r="N19" i="37"/>
  <c r="AL31" i="40"/>
  <c r="H10" i="26"/>
  <c r="M10" i="26" s="1"/>
  <c r="O64" i="37"/>
  <c r="H19" i="26"/>
  <c r="M19" i="26" s="1"/>
  <c r="N67" i="37"/>
  <c r="P19" i="37"/>
  <c r="N46" i="37"/>
  <c r="P26" i="37"/>
  <c r="N47" i="37"/>
  <c r="N87" i="37"/>
  <c r="AL29" i="40"/>
  <c r="M17" i="26"/>
  <c r="P35" i="37"/>
  <c r="N27" i="37"/>
  <c r="N22" i="37"/>
  <c r="N37" i="37"/>
  <c r="N86" i="37"/>
  <c r="L208" i="40"/>
  <c r="AL110" i="40"/>
  <c r="O12" i="37"/>
  <c r="P69" i="37"/>
  <c r="P85" i="37"/>
  <c r="P16" i="37"/>
  <c r="W310" i="40"/>
  <c r="C11" i="4"/>
  <c r="P27" i="37"/>
  <c r="N64" i="37"/>
  <c r="N15" i="37"/>
  <c r="P63" i="37"/>
  <c r="P51" i="37"/>
  <c r="P37" i="37"/>
  <c r="N68" i="37"/>
  <c r="N28" i="37"/>
  <c r="N61" i="37"/>
  <c r="P72" i="37"/>
  <c r="P88" i="37"/>
  <c r="P68" i="37"/>
  <c r="P87" i="37"/>
  <c r="P89" i="37"/>
  <c r="P86" i="37"/>
  <c r="P15" i="37"/>
  <c r="E11" i="4"/>
  <c r="P22" i="37"/>
  <c r="P79" i="37"/>
  <c r="N85" i="37"/>
  <c r="P50" i="37"/>
  <c r="P64" i="37"/>
  <c r="N35" i="37"/>
  <c r="N21" i="37"/>
  <c r="N53" i="37"/>
  <c r="N29" i="37"/>
  <c r="N89" i="37"/>
  <c r="O59" i="37"/>
  <c r="O35" i="37"/>
  <c r="H21" i="26"/>
  <c r="M21" i="26" s="1"/>
  <c r="O51" i="37"/>
  <c r="O29" i="37"/>
  <c r="H8" i="26"/>
  <c r="M8" i="26" s="1"/>
  <c r="O45" i="37"/>
  <c r="AG416" i="40"/>
  <c r="O46" i="37"/>
  <c r="O41" i="37"/>
  <c r="O19" i="37"/>
  <c r="O83" i="37"/>
  <c r="O81" i="37"/>
  <c r="O88" i="37"/>
  <c r="O85" i="37"/>
  <c r="H26" i="26"/>
  <c r="M26" i="26" s="1"/>
  <c r="H24" i="26"/>
  <c r="M24" i="26" s="1"/>
  <c r="O27" i="37"/>
  <c r="H11" i="26"/>
  <c r="M11" i="26" s="1"/>
  <c r="O37" i="37"/>
  <c r="H25" i="26"/>
  <c r="M25" i="26" s="1"/>
  <c r="H12" i="26"/>
  <c r="M12" i="26" s="1"/>
  <c r="O21" i="37"/>
  <c r="O50" i="37"/>
  <c r="H50" i="26"/>
  <c r="M50" i="26" s="1"/>
  <c r="H51" i="26"/>
  <c r="M51" i="26" s="1"/>
  <c r="H9" i="26"/>
  <c r="M9" i="26" s="1"/>
  <c r="O66" i="37"/>
  <c r="O71" i="37"/>
  <c r="AG326" i="40"/>
  <c r="O86" i="37"/>
  <c r="W326" i="40"/>
  <c r="I55" i="26"/>
  <c r="O42" i="37"/>
  <c r="K7" i="37"/>
  <c r="L7" i="37" s="1"/>
  <c r="T7" i="37" s="1"/>
  <c r="H6" i="26"/>
  <c r="M6" i="26" s="1"/>
  <c r="O47" i="37"/>
  <c r="O77" i="37"/>
  <c r="O53" i="37"/>
  <c r="H14" i="26"/>
  <c r="M14" i="26" s="1"/>
  <c r="H22" i="26"/>
  <c r="M22" i="26" s="1"/>
  <c r="O68" i="37"/>
  <c r="O17" i="37"/>
  <c r="H27" i="26"/>
  <c r="M27" i="26" s="1"/>
  <c r="H15" i="26"/>
  <c r="M15" i="26" s="1"/>
  <c r="H28" i="26"/>
  <c r="M28" i="26" s="1"/>
  <c r="H5" i="26"/>
  <c r="M5" i="26" s="1"/>
  <c r="O78" i="37"/>
  <c r="O87" i="37"/>
  <c r="O60" i="37"/>
  <c r="H7" i="26"/>
  <c r="M7" i="26" s="1"/>
  <c r="N51" i="37"/>
  <c r="P48" i="37"/>
  <c r="P32" i="37"/>
  <c r="N92" i="37"/>
  <c r="N91" i="37"/>
  <c r="O28" i="37"/>
  <c r="N49" i="37"/>
  <c r="N42" i="37"/>
  <c r="P55" i="37"/>
  <c r="O30" i="37"/>
  <c r="O33" i="37"/>
  <c r="N39" i="37"/>
  <c r="P43" i="37"/>
  <c r="N7" i="37"/>
  <c r="O11" i="37"/>
  <c r="O91" i="37"/>
  <c r="N25" i="37"/>
  <c r="N23" i="37"/>
  <c r="O40" i="37"/>
  <c r="O90" i="37"/>
  <c r="P91" i="37"/>
  <c r="P90" i="37"/>
  <c r="P29" i="37"/>
  <c r="K55" i="26"/>
  <c r="N36" i="37"/>
  <c r="O92" i="37"/>
  <c r="N90" i="37"/>
  <c r="P13" i="37"/>
  <c r="S13" i="37"/>
  <c r="AL126" i="40"/>
  <c r="AI120" i="40"/>
  <c r="AI67" i="40"/>
  <c r="AK118" i="40"/>
  <c r="AK110" i="40"/>
  <c r="AL118" i="40"/>
  <c r="AK126" i="40"/>
  <c r="AL67" i="40"/>
  <c r="Q13" i="37"/>
  <c r="O13" i="37"/>
  <c r="R13" i="37"/>
  <c r="M13" i="37"/>
  <c r="N13" i="37"/>
  <c r="O5" i="37"/>
  <c r="J5" i="37"/>
  <c r="K5" i="37" s="1"/>
  <c r="J11" i="37"/>
  <c r="M11" i="37"/>
  <c r="J10" i="37"/>
  <c r="N10" i="37" s="1"/>
  <c r="O10" i="37"/>
  <c r="J12" i="37"/>
  <c r="M12" i="37"/>
  <c r="O14" i="37"/>
  <c r="O49" i="37"/>
  <c r="N55" i="37"/>
  <c r="O26" i="37"/>
  <c r="K39" i="37"/>
  <c r="L39" i="37" s="1"/>
  <c r="S39" i="37" s="1"/>
  <c r="N41" i="37"/>
  <c r="S41" i="37"/>
  <c r="P36" i="37"/>
  <c r="T41" i="37"/>
  <c r="Q41" i="37"/>
  <c r="O38" i="37"/>
  <c r="P41" i="37"/>
  <c r="O43" i="37"/>
  <c r="N31" i="37"/>
  <c r="S54" i="37"/>
  <c r="K55" i="37"/>
  <c r="L55" i="37" s="1"/>
  <c r="T55" i="37" s="1"/>
  <c r="O7" i="37"/>
  <c r="P7" i="37"/>
  <c r="O31" i="37"/>
  <c r="P39" i="37"/>
  <c r="P49" i="37"/>
  <c r="P31" i="37"/>
  <c r="S31" i="37"/>
  <c r="Q31" i="37"/>
  <c r="O74" i="37"/>
  <c r="S26" i="37"/>
  <c r="J30" i="37"/>
  <c r="P30" i="37" s="1"/>
  <c r="P54" i="37"/>
  <c r="O54" i="37"/>
  <c r="Q54" i="37"/>
  <c r="J33" i="37"/>
  <c r="K33" i="37" s="1"/>
  <c r="P42" i="37"/>
  <c r="O39" i="37"/>
  <c r="T54" i="37"/>
  <c r="K42" i="37"/>
  <c r="L42" i="37" s="1"/>
  <c r="T42" i="37" s="1"/>
  <c r="T26" i="37"/>
  <c r="O55" i="37"/>
  <c r="N54" i="37"/>
  <c r="R31" i="37"/>
  <c r="N26" i="37"/>
  <c r="Q26" i="37"/>
  <c r="L34" i="37"/>
  <c r="S34" i="37" s="1"/>
  <c r="AI114" i="40"/>
  <c r="O34" i="37"/>
  <c r="O48" i="37"/>
  <c r="K32" i="37"/>
  <c r="L32" i="37" s="1"/>
  <c r="Q32" i="37" s="1"/>
  <c r="W397" i="40"/>
  <c r="AK127" i="40"/>
  <c r="N48" i="37"/>
  <c r="N34" i="37"/>
  <c r="K51" i="37"/>
  <c r="L51" i="37" s="1"/>
  <c r="T51" i="37" s="1"/>
  <c r="P34" i="37"/>
  <c r="K48" i="37"/>
  <c r="L48" i="37" s="1"/>
  <c r="Q48" i="37" s="1"/>
  <c r="AL111" i="40"/>
  <c r="AG367" i="40"/>
  <c r="AL58" i="40"/>
  <c r="AI58" i="40"/>
  <c r="AK111" i="40"/>
  <c r="R18" i="37"/>
  <c r="K49" i="37"/>
  <c r="L49" i="37" s="1"/>
  <c r="R49" i="37" s="1"/>
  <c r="N16" i="37"/>
  <c r="O36" i="37"/>
  <c r="P24" i="37"/>
  <c r="R24" i="37"/>
  <c r="J8" i="37"/>
  <c r="P8" i="37" s="1"/>
  <c r="M8" i="37"/>
  <c r="AI66" i="40"/>
  <c r="AK86" i="40"/>
  <c r="P18" i="37"/>
  <c r="P25" i="37"/>
  <c r="S18" i="37"/>
  <c r="N18" i="37"/>
  <c r="O8" i="37"/>
  <c r="O23" i="37"/>
  <c r="P23" i="37"/>
  <c r="AL86" i="40"/>
  <c r="AL85" i="40"/>
  <c r="AI85" i="40"/>
  <c r="AK112" i="40"/>
  <c r="AI127" i="40"/>
  <c r="AK66" i="40"/>
  <c r="AK121" i="40"/>
  <c r="O18" i="37"/>
  <c r="K23" i="37"/>
  <c r="L23" i="37" s="1"/>
  <c r="R23" i="37" s="1"/>
  <c r="T18" i="37"/>
  <c r="Q24" i="37"/>
  <c r="K36" i="37"/>
  <c r="L36" i="37" s="1"/>
  <c r="Q36" i="37" s="1"/>
  <c r="AI112" i="40"/>
  <c r="AL121" i="40"/>
  <c r="O24" i="37"/>
  <c r="O16" i="37"/>
  <c r="N24" i="37"/>
  <c r="S24" i="37"/>
  <c r="K16" i="37"/>
  <c r="L16" i="37" s="1"/>
  <c r="Q16" i="37" s="1"/>
  <c r="K25" i="37"/>
  <c r="L25" i="37" s="1"/>
  <c r="T25" i="37" s="1"/>
  <c r="W445" i="40"/>
  <c r="AG310" i="40"/>
  <c r="O9" i="37"/>
  <c r="J9" i="37"/>
  <c r="K9" i="37" s="1"/>
  <c r="L9" i="37" s="1"/>
  <c r="AI87" i="40"/>
  <c r="AK87" i="40"/>
  <c r="AI106" i="40"/>
  <c r="AL106" i="40"/>
  <c r="AL107" i="40"/>
  <c r="AI107" i="40"/>
  <c r="AI69" i="40"/>
  <c r="AK69" i="40"/>
  <c r="AL114" i="40"/>
  <c r="AL69" i="40"/>
  <c r="AK106" i="40"/>
  <c r="AI115" i="40"/>
  <c r="K67" i="10"/>
  <c r="L4" i="10" s="1"/>
  <c r="AK103" i="40"/>
  <c r="AL103" i="40"/>
  <c r="AI103" i="40"/>
  <c r="AL102" i="40"/>
  <c r="AK102" i="40"/>
  <c r="AL119" i="40"/>
  <c r="AI119" i="40"/>
  <c r="AL123" i="40"/>
  <c r="AI123" i="40"/>
  <c r="W367" i="40"/>
  <c r="AI82" i="40"/>
  <c r="AK82" i="40"/>
  <c r="AK117" i="40"/>
  <c r="AI117" i="40"/>
  <c r="AL92" i="40"/>
  <c r="O56" i="37"/>
  <c r="M16" i="26"/>
  <c r="D8" i="2"/>
  <c r="AL116" i="40"/>
  <c r="AI116" i="40"/>
  <c r="AL124" i="40"/>
  <c r="AI124" i="40"/>
  <c r="AK124" i="40"/>
  <c r="AK93" i="40"/>
  <c r="AI93" i="40"/>
  <c r="AL93" i="40"/>
  <c r="AK125" i="40"/>
  <c r="AI125" i="40"/>
  <c r="AK83" i="40"/>
  <c r="AL83" i="40"/>
  <c r="AL109" i="40"/>
  <c r="AI109" i="40"/>
  <c r="H18" i="26"/>
  <c r="M18" i="26" s="1"/>
  <c r="E10" i="4"/>
  <c r="H20" i="26"/>
  <c r="M20" i="26" s="1"/>
  <c r="D10" i="4"/>
  <c r="M6" i="37" s="1"/>
  <c r="C10" i="4"/>
  <c r="H52" i="26"/>
  <c r="M52" i="26" s="1"/>
  <c r="H29" i="26"/>
  <c r="M29" i="26" s="1"/>
  <c r="O20" i="37"/>
  <c r="AK92" i="40"/>
  <c r="AL82" i="40"/>
  <c r="AL115" i="40"/>
  <c r="AL87" i="40"/>
  <c r="O25" i="37"/>
  <c r="O11" i="2"/>
  <c r="AK122" i="40"/>
  <c r="AI122" i="40"/>
  <c r="AL122" i="40"/>
  <c r="AI108" i="40"/>
  <c r="AK108" i="40"/>
  <c r="AL113" i="40"/>
  <c r="AI113" i="40"/>
  <c r="AK113" i="40"/>
  <c r="AK84" i="40"/>
  <c r="AL84" i="40"/>
  <c r="AI84" i="40"/>
  <c r="AK68" i="40"/>
  <c r="AL68" i="40"/>
  <c r="AI68" i="40"/>
  <c r="AK59" i="40"/>
  <c r="AI59" i="40"/>
  <c r="W410" i="40"/>
  <c r="N13" i="2"/>
  <c r="O13" i="2" s="1"/>
  <c r="J55" i="26"/>
  <c r="AG397" i="40"/>
  <c r="D12" i="2"/>
  <c r="N15" i="2"/>
  <c r="O15" i="2" s="1"/>
  <c r="W435" i="40"/>
  <c r="S81" i="37"/>
  <c r="Q81" i="37"/>
  <c r="R81" i="37"/>
  <c r="T81" i="37"/>
  <c r="V287" i="40"/>
  <c r="N7" i="2" s="1"/>
  <c r="J84" i="37"/>
  <c r="O84" i="37"/>
  <c r="N83" i="37"/>
  <c r="P83" i="37"/>
  <c r="J82" i="37"/>
  <c r="O82" i="37"/>
  <c r="N81" i="37"/>
  <c r="P81" i="37"/>
  <c r="K83" i="37"/>
  <c r="L83" i="37" s="1"/>
  <c r="J80" i="37"/>
  <c r="K80" i="37" s="1"/>
  <c r="L80" i="37" s="1"/>
  <c r="O80" i="37"/>
  <c r="O69" i="37"/>
  <c r="I21" i="9"/>
  <c r="G414" i="40" s="1"/>
  <c r="W414" i="40" s="1"/>
  <c r="I41" i="9"/>
  <c r="G415" i="40" s="1"/>
  <c r="AG415" i="40" s="1"/>
  <c r="P61" i="37"/>
  <c r="Z17" i="2"/>
  <c r="F15" i="54" s="1"/>
  <c r="F14" i="54" s="1"/>
  <c r="O61" i="37"/>
  <c r="P17" i="37"/>
  <c r="K61" i="37"/>
  <c r="L61" i="37" s="1"/>
  <c r="T61" i="37" s="1"/>
  <c r="N17" i="37"/>
  <c r="Q73" i="37"/>
  <c r="K63" i="37"/>
  <c r="L63" i="37" s="1"/>
  <c r="R63" i="37" s="1"/>
  <c r="O79" i="37"/>
  <c r="O76" i="37"/>
  <c r="P38" i="37"/>
  <c r="P14" i="37"/>
  <c r="P76" i="37"/>
  <c r="X17" i="2"/>
  <c r="E15" i="54" s="1"/>
  <c r="N66" i="37"/>
  <c r="S35" i="37"/>
  <c r="P20" i="37"/>
  <c r="P75" i="37"/>
  <c r="K79" i="37"/>
  <c r="L79" i="37" s="1"/>
  <c r="T79" i="37" s="1"/>
  <c r="R76" i="37"/>
  <c r="T76" i="37"/>
  <c r="O63" i="37"/>
  <c r="N63" i="37"/>
  <c r="S76" i="37"/>
  <c r="N76" i="37"/>
  <c r="N38" i="37"/>
  <c r="N79" i="37"/>
  <c r="J78" i="37"/>
  <c r="K78" i="37" s="1"/>
  <c r="L78" i="37" s="1"/>
  <c r="T35" i="37"/>
  <c r="R35" i="37"/>
  <c r="P60" i="37"/>
  <c r="N20" i="37"/>
  <c r="N60" i="37"/>
  <c r="W332" i="40"/>
  <c r="R17" i="37"/>
  <c r="T17" i="37"/>
  <c r="Q17" i="37"/>
  <c r="S17" i="37"/>
  <c r="N74" i="37"/>
  <c r="R73" i="37"/>
  <c r="O75" i="37"/>
  <c r="N75" i="37"/>
  <c r="S73" i="37"/>
  <c r="L75" i="37"/>
  <c r="T75" i="37" s="1"/>
  <c r="O73" i="37"/>
  <c r="P40" i="37"/>
  <c r="P73" i="37"/>
  <c r="N73" i="37"/>
  <c r="P28" i="37"/>
  <c r="N45" i="37"/>
  <c r="Q27" i="37"/>
  <c r="R27" i="37"/>
  <c r="S27" i="37"/>
  <c r="T27" i="37"/>
  <c r="P77" i="37"/>
  <c r="K14" i="37"/>
  <c r="L14" i="37" s="1"/>
  <c r="I15" i="52" s="1"/>
  <c r="O72" i="37"/>
  <c r="P74" i="37"/>
  <c r="N72" i="37"/>
  <c r="P66" i="37"/>
  <c r="AG332" i="40"/>
  <c r="O65" i="37"/>
  <c r="J65" i="37"/>
  <c r="J62" i="37"/>
  <c r="O62" i="37"/>
  <c r="K72" i="37"/>
  <c r="L72" i="37" s="1"/>
  <c r="S72" i="37" s="1"/>
  <c r="J71" i="37"/>
  <c r="K71" i="37" s="1"/>
  <c r="L71" i="37" s="1"/>
  <c r="S38" i="37"/>
  <c r="T38" i="37"/>
  <c r="J70" i="37"/>
  <c r="K70" i="37" s="1"/>
  <c r="O70" i="37"/>
  <c r="K43" i="37"/>
  <c r="L43" i="37" s="1"/>
  <c r="L20" i="37"/>
  <c r="S20" i="37" s="1"/>
  <c r="Q38" i="37"/>
  <c r="R38" i="37"/>
  <c r="N43" i="37"/>
  <c r="D10" i="2"/>
  <c r="W348" i="40"/>
  <c r="S67" i="37"/>
  <c r="N77" i="37"/>
  <c r="AG348" i="40"/>
  <c r="R53" i="37"/>
  <c r="T53" i="37"/>
  <c r="S53" i="37"/>
  <c r="Q53" i="37"/>
  <c r="T60" i="37"/>
  <c r="Q60" i="37"/>
  <c r="R60" i="37"/>
  <c r="S60" i="37"/>
  <c r="T66" i="37"/>
  <c r="R66" i="37"/>
  <c r="Q66" i="37"/>
  <c r="S66" i="37"/>
  <c r="R19" i="37"/>
  <c r="S47" i="37"/>
  <c r="Q47" i="37"/>
  <c r="T47" i="37"/>
  <c r="R47" i="37"/>
  <c r="R22" i="37"/>
  <c r="S22" i="37"/>
  <c r="T22" i="37"/>
  <c r="Q22" i="37"/>
  <c r="T46" i="37"/>
  <c r="O9" i="2"/>
  <c r="N6" i="2"/>
  <c r="W24" i="40"/>
  <c r="K28" i="37"/>
  <c r="L28" i="37" s="1"/>
  <c r="T45" i="37"/>
  <c r="Q45" i="37"/>
  <c r="N69" i="37"/>
  <c r="T21" i="37"/>
  <c r="Q21" i="37"/>
  <c r="R21" i="37"/>
  <c r="S21" i="37"/>
  <c r="S37" i="37"/>
  <c r="R37" i="37"/>
  <c r="T37" i="37"/>
  <c r="Q37" i="37"/>
  <c r="T77" i="37"/>
  <c r="Q77" i="37"/>
  <c r="S77" i="37"/>
  <c r="R77" i="37"/>
  <c r="L40" i="37"/>
  <c r="P6" i="37"/>
  <c r="N40" i="37"/>
  <c r="L74" i="37"/>
  <c r="K69" i="37"/>
  <c r="L69" i="37" s="1"/>
  <c r="W206" i="40"/>
  <c r="P52" i="37"/>
  <c r="N52" i="37"/>
  <c r="L52" i="37"/>
  <c r="O6" i="37"/>
  <c r="F3" i="54" l="1"/>
  <c r="C10" i="54"/>
  <c r="C8" i="54"/>
  <c r="K56" i="37"/>
  <c r="L56" i="37" s="1"/>
  <c r="S56" i="37" s="1"/>
  <c r="P56" i="37"/>
  <c r="D15" i="54"/>
  <c r="V18" i="2"/>
  <c r="V104" i="37"/>
  <c r="W104" i="37" s="1"/>
  <c r="V123" i="37"/>
  <c r="W123" i="37" s="1"/>
  <c r="E17" i="2"/>
  <c r="F17" i="2"/>
  <c r="V115" i="37"/>
  <c r="W115" i="37" s="1"/>
  <c r="V100" i="37"/>
  <c r="W100" i="37" s="1"/>
  <c r="V108" i="37"/>
  <c r="W108" i="37" s="1"/>
  <c r="V122" i="37"/>
  <c r="W122" i="37" s="1"/>
  <c r="V117" i="37"/>
  <c r="W117" i="37" s="1"/>
  <c r="V105" i="37"/>
  <c r="W105" i="37" s="1"/>
  <c r="M131" i="37"/>
  <c r="V120" i="37"/>
  <c r="W120" i="37" s="1"/>
  <c r="V99" i="37"/>
  <c r="W99" i="37" s="1"/>
  <c r="R67" i="37"/>
  <c r="V107" i="37"/>
  <c r="W107" i="37" s="1"/>
  <c r="V103" i="37"/>
  <c r="W103" i="37" s="1"/>
  <c r="V95" i="37"/>
  <c r="W95" i="37" s="1"/>
  <c r="Q19" i="37"/>
  <c r="T67" i="37"/>
  <c r="V112" i="37"/>
  <c r="W112" i="37" s="1"/>
  <c r="V127" i="37"/>
  <c r="W127" i="37" s="1"/>
  <c r="V110" i="37"/>
  <c r="W110" i="37" s="1"/>
  <c r="V116" i="37"/>
  <c r="W116" i="37" s="1"/>
  <c r="V94" i="37"/>
  <c r="W94" i="37" s="1"/>
  <c r="O131" i="37"/>
  <c r="V113" i="37"/>
  <c r="W113" i="37" s="1"/>
  <c r="V102" i="37"/>
  <c r="W102" i="37" s="1"/>
  <c r="V125" i="37"/>
  <c r="W125" i="37" s="1"/>
  <c r="V124" i="37"/>
  <c r="W124" i="37" s="1"/>
  <c r="V118" i="37"/>
  <c r="W118" i="37" s="1"/>
  <c r="V114" i="37"/>
  <c r="W114" i="37" s="1"/>
  <c r="V119" i="37"/>
  <c r="W119" i="37" s="1"/>
  <c r="G4" i="26"/>
  <c r="H53" i="26"/>
  <c r="H4" i="26"/>
  <c r="G53" i="26"/>
  <c r="S19" i="37"/>
  <c r="V98" i="37"/>
  <c r="W98" i="37" s="1"/>
  <c r="V106" i="37"/>
  <c r="W106" i="37" s="1"/>
  <c r="V126" i="37"/>
  <c r="W126" i="37" s="1"/>
  <c r="V109" i="37"/>
  <c r="W109" i="37" s="1"/>
  <c r="V128" i="37"/>
  <c r="W128" i="37" s="1"/>
  <c r="V93" i="37"/>
  <c r="W93" i="37" s="1"/>
  <c r="V129" i="37"/>
  <c r="W129" i="37" s="1"/>
  <c r="V97" i="37"/>
  <c r="W97" i="37" s="1"/>
  <c r="V121" i="37"/>
  <c r="W121" i="37" s="1"/>
  <c r="V96" i="37"/>
  <c r="W96" i="37" s="1"/>
  <c r="V111" i="37"/>
  <c r="W111" i="37" s="1"/>
  <c r="S46" i="37"/>
  <c r="R46" i="37"/>
  <c r="P45" i="37"/>
  <c r="R45" i="37"/>
  <c r="V45" i="37" s="1"/>
  <c r="W45" i="37" s="1"/>
  <c r="N44" i="37"/>
  <c r="R15" i="37"/>
  <c r="Q29" i="37"/>
  <c r="T15" i="37"/>
  <c r="S15" i="37"/>
  <c r="T29" i="37"/>
  <c r="S29" i="37"/>
  <c r="P44" i="37"/>
  <c r="Q44" i="37"/>
  <c r="T44" i="37"/>
  <c r="S44" i="37"/>
  <c r="R44" i="37"/>
  <c r="S59" i="37"/>
  <c r="Q59" i="37"/>
  <c r="T59" i="37"/>
  <c r="R7" i="37"/>
  <c r="R34" i="37"/>
  <c r="T34" i="37"/>
  <c r="Q64" i="37"/>
  <c r="S64" i="37"/>
  <c r="R64" i="37"/>
  <c r="S25" i="37"/>
  <c r="V87" i="37"/>
  <c r="W87" i="37" s="1"/>
  <c r="K30" i="37"/>
  <c r="L30" i="37" s="1"/>
  <c r="S30" i="37" s="1"/>
  <c r="V89" i="37"/>
  <c r="W89" i="37" s="1"/>
  <c r="P5" i="37"/>
  <c r="R42" i="37"/>
  <c r="S55" i="37"/>
  <c r="V88" i="37"/>
  <c r="W88" i="37" s="1"/>
  <c r="S7" i="37"/>
  <c r="Q7" i="37"/>
  <c r="T32" i="37"/>
  <c r="N33" i="37"/>
  <c r="Q42" i="37"/>
  <c r="R32" i="37"/>
  <c r="P33" i="37"/>
  <c r="L33" i="37"/>
  <c r="R33" i="37" s="1"/>
  <c r="V68" i="37"/>
  <c r="W68" i="37" s="1"/>
  <c r="V50" i="37"/>
  <c r="W50" i="37" s="1"/>
  <c r="V86" i="37"/>
  <c r="W86" i="37" s="1"/>
  <c r="V85" i="37"/>
  <c r="W85" i="37" s="1"/>
  <c r="V91" i="37"/>
  <c r="W91" i="37" s="1"/>
  <c r="V92" i="37"/>
  <c r="W92" i="37" s="1"/>
  <c r="V90" i="37"/>
  <c r="W90" i="37" s="1"/>
  <c r="K10" i="37"/>
  <c r="L10" i="37" s="1"/>
  <c r="S10" i="37" s="1"/>
  <c r="T39" i="37"/>
  <c r="Q39" i="37"/>
  <c r="Z21" i="2"/>
  <c r="N5" i="37"/>
  <c r="V13" i="37"/>
  <c r="W13" i="37" s="1"/>
  <c r="V54" i="37"/>
  <c r="W54" i="37" s="1"/>
  <c r="V31" i="37"/>
  <c r="W31" i="37" s="1"/>
  <c r="L5" i="37"/>
  <c r="I14" i="52" s="1"/>
  <c r="N11" i="37"/>
  <c r="K11" i="37"/>
  <c r="L11" i="37" s="1"/>
  <c r="P11" i="37"/>
  <c r="P10" i="37"/>
  <c r="K12" i="37"/>
  <c r="L12" i="37" s="1"/>
  <c r="P12" i="37"/>
  <c r="N12" i="37"/>
  <c r="Q55" i="37"/>
  <c r="R39" i="37"/>
  <c r="T48" i="37"/>
  <c r="S49" i="37"/>
  <c r="V41" i="37"/>
  <c r="W41" i="37" s="1"/>
  <c r="R55" i="37"/>
  <c r="S23" i="37"/>
  <c r="S48" i="37"/>
  <c r="R48" i="37"/>
  <c r="T23" i="37"/>
  <c r="V26" i="37"/>
  <c r="W26" i="37" s="1"/>
  <c r="S32" i="37"/>
  <c r="R56" i="37"/>
  <c r="S42" i="37"/>
  <c r="R51" i="37"/>
  <c r="Q56" i="37"/>
  <c r="Q34" i="37"/>
  <c r="T36" i="37"/>
  <c r="N30" i="37"/>
  <c r="T49" i="37"/>
  <c r="Q51" i="37"/>
  <c r="Q23" i="37"/>
  <c r="S51" i="37"/>
  <c r="T56" i="37"/>
  <c r="S36" i="37"/>
  <c r="V24" i="37"/>
  <c r="W24" i="37" s="1"/>
  <c r="R25" i="37"/>
  <c r="R36" i="37"/>
  <c r="Q25" i="37"/>
  <c r="Q49" i="37"/>
  <c r="S16" i="37"/>
  <c r="P9" i="37"/>
  <c r="K8" i="37"/>
  <c r="L8" i="37" s="1"/>
  <c r="V18" i="37"/>
  <c r="W18" i="37" s="1"/>
  <c r="N8" i="37"/>
  <c r="R16" i="37"/>
  <c r="T16" i="37"/>
  <c r="N9" i="37"/>
  <c r="L45" i="10"/>
  <c r="L34" i="10"/>
  <c r="L56" i="10"/>
  <c r="G418" i="40"/>
  <c r="W418" i="40" s="1"/>
  <c r="O8" i="2"/>
  <c r="AG414" i="40"/>
  <c r="O12" i="2"/>
  <c r="S80" i="37"/>
  <c r="Q80" i="37"/>
  <c r="R80" i="37"/>
  <c r="T80" i="37"/>
  <c r="P82" i="37"/>
  <c r="N82" i="37"/>
  <c r="V81" i="37"/>
  <c r="W81" i="37" s="1"/>
  <c r="P84" i="37"/>
  <c r="N84" i="37"/>
  <c r="N80" i="37"/>
  <c r="P80" i="37"/>
  <c r="K82" i="37"/>
  <c r="L82" i="37" s="1"/>
  <c r="T83" i="37"/>
  <c r="Q83" i="37"/>
  <c r="R83" i="37"/>
  <c r="S83" i="37"/>
  <c r="K84" i="37"/>
  <c r="L84" i="37" s="1"/>
  <c r="W415" i="40"/>
  <c r="S61" i="37"/>
  <c r="T63" i="37"/>
  <c r="Q61" i="37"/>
  <c r="Q63" i="37"/>
  <c r="S63" i="37"/>
  <c r="R61" i="37"/>
  <c r="Q72" i="37"/>
  <c r="X21" i="2"/>
  <c r="E19" i="54" s="1"/>
  <c r="T72" i="37"/>
  <c r="R72" i="37"/>
  <c r="V35" i="37"/>
  <c r="W35" i="37" s="1"/>
  <c r="V17" i="37"/>
  <c r="W17" i="37" s="1"/>
  <c r="S79" i="37"/>
  <c r="Q79" i="37"/>
  <c r="L70" i="37"/>
  <c r="R70" i="37" s="1"/>
  <c r="R79" i="37"/>
  <c r="R75" i="37"/>
  <c r="V76" i="37"/>
  <c r="W76" i="37" s="1"/>
  <c r="V27" i="37"/>
  <c r="W27" i="37" s="1"/>
  <c r="N78" i="37"/>
  <c r="P78" i="37"/>
  <c r="Q78" i="37"/>
  <c r="T78" i="37"/>
  <c r="R78" i="37"/>
  <c r="S78" i="37"/>
  <c r="T20" i="37"/>
  <c r="Q20" i="37"/>
  <c r="V73" i="37"/>
  <c r="W73" i="37" s="1"/>
  <c r="R20" i="37"/>
  <c r="Q75" i="37"/>
  <c r="S75" i="37"/>
  <c r="S14" i="37"/>
  <c r="Q14" i="37"/>
  <c r="R14" i="37"/>
  <c r="T14" i="37"/>
  <c r="Q43" i="37"/>
  <c r="T43" i="37"/>
  <c r="S43" i="37"/>
  <c r="R43" i="37"/>
  <c r="P71" i="37"/>
  <c r="N71" i="37"/>
  <c r="V21" i="37"/>
  <c r="W21" i="37" s="1"/>
  <c r="P65" i="37"/>
  <c r="N65" i="37"/>
  <c r="K65" i="37"/>
  <c r="L65" i="37" s="1"/>
  <c r="T71" i="37"/>
  <c r="R71" i="37"/>
  <c r="S71" i="37"/>
  <c r="Q71" i="37"/>
  <c r="K62" i="37"/>
  <c r="L62" i="37" s="1"/>
  <c r="N62" i="37"/>
  <c r="P62" i="37"/>
  <c r="V53" i="37"/>
  <c r="W53" i="37" s="1"/>
  <c r="V38" i="37"/>
  <c r="W38" i="37" s="1"/>
  <c r="N70" i="37"/>
  <c r="P70" i="37"/>
  <c r="V37" i="37"/>
  <c r="W37" i="37" s="1"/>
  <c r="V22" i="37"/>
  <c r="W22" i="37" s="1"/>
  <c r="V47" i="37"/>
  <c r="W47" i="37" s="1"/>
  <c r="V66" i="37"/>
  <c r="W66" i="37" s="1"/>
  <c r="V60" i="37"/>
  <c r="F12" i="52" s="1"/>
  <c r="V77" i="37"/>
  <c r="W77" i="37" s="1"/>
  <c r="O10" i="2"/>
  <c r="S9" i="37"/>
  <c r="T9" i="37"/>
  <c r="R9" i="37"/>
  <c r="Q9" i="37"/>
  <c r="S69" i="37"/>
  <c r="R69" i="37"/>
  <c r="T69" i="37"/>
  <c r="Q69" i="37"/>
  <c r="S28" i="37"/>
  <c r="R28" i="37"/>
  <c r="Q28" i="37"/>
  <c r="T28" i="37"/>
  <c r="O6" i="2"/>
  <c r="N17" i="2"/>
  <c r="AD17" i="2" s="1"/>
  <c r="Q40" i="37"/>
  <c r="R40" i="37"/>
  <c r="S40" i="37"/>
  <c r="T40" i="37"/>
  <c r="Q74" i="37"/>
  <c r="S74" i="37"/>
  <c r="R74" i="37"/>
  <c r="T74" i="37"/>
  <c r="K6" i="37"/>
  <c r="L6" i="37" s="1"/>
  <c r="S6" i="37" s="1"/>
  <c r="N6" i="37"/>
  <c r="T52" i="37"/>
  <c r="S52" i="37"/>
  <c r="Q52" i="37"/>
  <c r="R52" i="37"/>
  <c r="N22" i="2" l="1"/>
  <c r="AD22" i="2" s="1"/>
  <c r="AK22" i="2" s="1"/>
  <c r="F18" i="2"/>
  <c r="D16" i="54"/>
  <c r="D19" i="54"/>
  <c r="E18" i="2"/>
  <c r="V67" i="37"/>
  <c r="W67" i="37" s="1"/>
  <c r="V19" i="37"/>
  <c r="W19" i="37" s="1"/>
  <c r="V46" i="37"/>
  <c r="W46" i="37" s="1"/>
  <c r="F19" i="54"/>
  <c r="M53" i="26"/>
  <c r="H55" i="26"/>
  <c r="M4" i="26"/>
  <c r="M55" i="26" s="1"/>
  <c r="G55" i="26"/>
  <c r="P131" i="37"/>
  <c r="N131" i="37"/>
  <c r="L131" i="37"/>
  <c r="V15" i="37"/>
  <c r="W15" i="37" s="1"/>
  <c r="V59" i="37"/>
  <c r="W59" i="37" s="1"/>
  <c r="V29" i="37"/>
  <c r="W29" i="37" s="1"/>
  <c r="V44" i="37"/>
  <c r="W44" i="37" s="1"/>
  <c r="F20" i="52"/>
  <c r="V64" i="37"/>
  <c r="W64" i="37" s="1"/>
  <c r="V34" i="37"/>
  <c r="W34" i="37" s="1"/>
  <c r="Q30" i="37"/>
  <c r="R30" i="37"/>
  <c r="T30" i="37"/>
  <c r="V7" i="37"/>
  <c r="W7" i="37" s="1"/>
  <c r="V32" i="37"/>
  <c r="W32" i="37" s="1"/>
  <c r="T33" i="37"/>
  <c r="V42" i="37"/>
  <c r="W42" i="37" s="1"/>
  <c r="V55" i="37"/>
  <c r="W55" i="37" s="1"/>
  <c r="S33" i="37"/>
  <c r="T10" i="37"/>
  <c r="Q10" i="37"/>
  <c r="Q33" i="37"/>
  <c r="R10" i="37"/>
  <c r="V39" i="37"/>
  <c r="W39" i="37" s="1"/>
  <c r="X22" i="2"/>
  <c r="L67" i="10"/>
  <c r="AG418" i="40"/>
  <c r="Q5" i="37"/>
  <c r="W60" i="37"/>
  <c r="R5" i="37"/>
  <c r="T5" i="37"/>
  <c r="S5" i="37"/>
  <c r="Q11" i="37"/>
  <c r="S11" i="37"/>
  <c r="T11" i="37"/>
  <c r="R11" i="37"/>
  <c r="Q12" i="37"/>
  <c r="T12" i="37"/>
  <c r="S12" i="37"/>
  <c r="R12" i="37"/>
  <c r="V56" i="37"/>
  <c r="W56" i="37" s="1"/>
  <c r="V48" i="37"/>
  <c r="W48" i="37" s="1"/>
  <c r="V23" i="37"/>
  <c r="W23" i="37" s="1"/>
  <c r="V36" i="37"/>
  <c r="W36" i="37" s="1"/>
  <c r="V25" i="37"/>
  <c r="W25" i="37" s="1"/>
  <c r="V51" i="37"/>
  <c r="W51" i="37" s="1"/>
  <c r="V49" i="37"/>
  <c r="W49" i="37" s="1"/>
  <c r="D14" i="2"/>
  <c r="V16" i="37"/>
  <c r="W16" i="37" s="1"/>
  <c r="R8" i="37"/>
  <c r="T8" i="37"/>
  <c r="Q8" i="37"/>
  <c r="S8" i="37"/>
  <c r="V83" i="37"/>
  <c r="W83" i="37" s="1"/>
  <c r="V61" i="37"/>
  <c r="W61" i="37" s="1"/>
  <c r="T84" i="37"/>
  <c r="Q84" i="37"/>
  <c r="R84" i="37"/>
  <c r="S84" i="37"/>
  <c r="V80" i="37"/>
  <c r="W80" i="37" s="1"/>
  <c r="T82" i="37"/>
  <c r="Q82" i="37"/>
  <c r="R82" i="37"/>
  <c r="S82" i="37"/>
  <c r="Q70" i="37"/>
  <c r="T70" i="37"/>
  <c r="V63" i="37"/>
  <c r="W63" i="37" s="1"/>
  <c r="V72" i="37"/>
  <c r="W72" i="37" s="1"/>
  <c r="S70" i="37"/>
  <c r="V79" i="37"/>
  <c r="W79" i="37" s="1"/>
  <c r="V20" i="37"/>
  <c r="W20" i="37" s="1"/>
  <c r="V78" i="37"/>
  <c r="W78" i="37" s="1"/>
  <c r="V75" i="37"/>
  <c r="W75" i="37" s="1"/>
  <c r="V43" i="37"/>
  <c r="W43" i="37" s="1"/>
  <c r="V14" i="37"/>
  <c r="Q6" i="37"/>
  <c r="V71" i="37"/>
  <c r="W71" i="37" s="1"/>
  <c r="Q65" i="37"/>
  <c r="T65" i="37"/>
  <c r="S65" i="37"/>
  <c r="R65" i="37"/>
  <c r="Q62" i="37"/>
  <c r="R62" i="37"/>
  <c r="S62" i="37"/>
  <c r="T62" i="37"/>
  <c r="V9" i="37"/>
  <c r="R6" i="37"/>
  <c r="V69" i="37"/>
  <c r="W69" i="37" s="1"/>
  <c r="V74" i="37"/>
  <c r="W74" i="37" s="1"/>
  <c r="V28" i="37"/>
  <c r="W28" i="37" s="1"/>
  <c r="T6" i="37"/>
  <c r="V40" i="37"/>
  <c r="W40" i="37" s="1"/>
  <c r="V52" i="37"/>
  <c r="W52" i="37" s="1"/>
  <c r="C12" i="54" l="1"/>
  <c r="N26" i="2"/>
  <c r="AD26" i="2" s="1"/>
  <c r="Q23" i="2"/>
  <c r="Q24" i="2" s="1"/>
  <c r="D45" i="10"/>
  <c r="E45" i="10" s="1"/>
  <c r="E21" i="54"/>
  <c r="E212" i="40"/>
  <c r="W212" i="40" s="1"/>
  <c r="F11" i="52"/>
  <c r="H11" i="52" s="1"/>
  <c r="R131" i="37"/>
  <c r="E214" i="40" s="1"/>
  <c r="W214" i="40" s="1"/>
  <c r="S131" i="37"/>
  <c r="E215" i="40" s="1"/>
  <c r="W215" i="40" s="1"/>
  <c r="Q131" i="37"/>
  <c r="E213" i="40" s="1"/>
  <c r="W213" i="40" s="1"/>
  <c r="T131" i="37"/>
  <c r="E216" i="40" s="1"/>
  <c r="W216" i="40" s="1"/>
  <c r="V30" i="37"/>
  <c r="W30" i="37" s="1"/>
  <c r="W14" i="37"/>
  <c r="F15" i="52"/>
  <c r="V33" i="37"/>
  <c r="W33" i="37" s="1"/>
  <c r="V10" i="37"/>
  <c r="W10" i="37" s="1"/>
  <c r="V5" i="37"/>
  <c r="D26" i="46" s="1"/>
  <c r="V12" i="37"/>
  <c r="W12" i="37" s="1"/>
  <c r="V11" i="37"/>
  <c r="W11" i="37" s="1"/>
  <c r="D29" i="46"/>
  <c r="D28" i="46"/>
  <c r="D31" i="46"/>
  <c r="D30" i="46"/>
  <c r="W9" i="37"/>
  <c r="O14" i="2"/>
  <c r="V8" i="37"/>
  <c r="V84" i="37"/>
  <c r="W84" i="37" s="1"/>
  <c r="V82" i="37"/>
  <c r="W82" i="37" s="1"/>
  <c r="V70" i="37"/>
  <c r="W70" i="37" s="1"/>
  <c r="V65" i="37"/>
  <c r="W65" i="37" s="1"/>
  <c r="V62" i="37"/>
  <c r="W62" i="37" s="1"/>
  <c r="V6" i="37"/>
  <c r="D27" i="46" s="1"/>
  <c r="Q25" i="2" l="1"/>
  <c r="N21" i="10"/>
  <c r="F14" i="52"/>
  <c r="V131" i="37"/>
  <c r="W5" i="37"/>
  <c r="W6" i="37"/>
  <c r="W8" i="37"/>
  <c r="C33" i="46"/>
  <c r="G218" i="40"/>
  <c r="N19" i="10" l="1"/>
  <c r="N18" i="10"/>
  <c r="W218" i="40"/>
  <c r="C36" i="54"/>
  <c r="E36" i="54" s="1"/>
  <c r="W131" i="37"/>
  <c r="E22" i="52"/>
  <c r="E26" i="52" s="1"/>
  <c r="E65" i="52" s="1"/>
  <c r="AG218" i="40"/>
  <c r="V22" i="2" l="1"/>
  <c r="V26" i="2" s="1"/>
  <c r="D21" i="54" l="1"/>
  <c r="D34" i="10" l="1"/>
  <c r="Z22" i="2"/>
  <c r="Z26" i="2" s="1"/>
  <c r="D56" i="10" l="1"/>
  <c r="F21" i="54"/>
  <c r="AA25" i="10" l="1"/>
  <c r="AA21" i="10" l="1"/>
  <c r="AA26" i="10" s="1"/>
  <c r="E34" i="10"/>
  <c r="M22" i="2" l="1"/>
  <c r="E19" i="2"/>
  <c r="O287" i="40"/>
  <c r="G7" i="2"/>
  <c r="G17" i="2" s="1"/>
  <c r="C9" i="54"/>
  <c r="C6" i="54"/>
  <c r="C4" i="54"/>
  <c r="G18" i="54" l="1"/>
  <c r="G17" i="54"/>
  <c r="G11" i="54"/>
  <c r="G13" i="54"/>
  <c r="G7" i="54"/>
  <c r="G10" i="54"/>
  <c r="G8" i="54"/>
  <c r="G12" i="54"/>
  <c r="G9" i="54"/>
  <c r="G4" i="54"/>
  <c r="G6" i="54"/>
  <c r="O17" i="10"/>
  <c r="O4" i="10" l="1"/>
  <c r="O67" i="10" l="1"/>
  <c r="Q56" i="10" s="1"/>
  <c r="Q4" i="10" l="1"/>
  <c r="Q67" i="10" s="1"/>
  <c r="C14" i="54"/>
  <c r="G14" i="54"/>
  <c r="C19" i="10"/>
  <c r="C3" i="54"/>
  <c r="H18" i="2"/>
  <c r="H22" i="2"/>
  <c r="G3" i="54"/>
  <c r="E56" i="10"/>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C57" i="54"/>
  <c r="D4" i="10"/>
  <c r="E4" i="10"/>
  <c r="I4" i="10"/>
  <c r="J4" i="10"/>
  <c r="P4" i="10"/>
  <c r="D5" i="10"/>
  <c r="E5" i="10"/>
  <c r="P5" i="10"/>
  <c r="C6" i="10"/>
  <c r="I6" i="10"/>
  <c r="E12" i="10"/>
  <c r="D17" i="10"/>
  <c r="E17" i="10"/>
  <c r="I17" i="10"/>
  <c r="P17" i="10"/>
  <c r="C18" i="10"/>
  <c r="C21" i="10"/>
  <c r="E29" i="10"/>
  <c r="E31" i="10"/>
  <c r="D32" i="10"/>
  <c r="E32" i="10"/>
  <c r="J34" i="10"/>
  <c r="J45" i="10"/>
  <c r="J56" i="10"/>
  <c r="D67" i="10"/>
  <c r="E67" i="10"/>
  <c r="I67" i="10"/>
  <c r="J67" i="10"/>
  <c r="P67" i="10"/>
  <c r="D68" i="10"/>
  <c r="K68" i="10"/>
  <c r="C46" i="46"/>
  <c r="C47" i="46"/>
  <c r="C49" i="46"/>
  <c r="D49" i="46"/>
  <c r="C50" i="46"/>
  <c r="C51" i="46"/>
  <c r="H14" i="40"/>
  <c r="AI14" i="40"/>
  <c r="AK14" i="40"/>
  <c r="AL14" i="40"/>
  <c r="AM14" i="40"/>
  <c r="AN14" i="40"/>
  <c r="H29" i="40"/>
  <c r="AI29" i="40"/>
  <c r="H30" i="40"/>
  <c r="AI30" i="40"/>
  <c r="H31" i="40"/>
  <c r="AI31" i="40"/>
  <c r="H32" i="40"/>
  <c r="AI32" i="40"/>
  <c r="H33" i="40"/>
  <c r="AI33" i="40"/>
  <c r="H34" i="40"/>
  <c r="AI34" i="40"/>
  <c r="H43" i="40"/>
  <c r="AI43" i="40"/>
  <c r="AK43" i="40"/>
  <c r="AL43" i="40"/>
  <c r="H44" i="40"/>
  <c r="AI44" i="40"/>
  <c r="AK44" i="40"/>
  <c r="AL44" i="40"/>
  <c r="H45" i="40"/>
  <c r="AI45" i="40"/>
  <c r="AK45" i="40"/>
  <c r="AL45" i="40"/>
  <c r="AM45" i="40"/>
  <c r="AN45" i="40"/>
  <c r="H46" i="40"/>
  <c r="AI46" i="40"/>
  <c r="AK46" i="40"/>
  <c r="AL46" i="40"/>
  <c r="H47" i="40"/>
  <c r="AI47" i="40"/>
  <c r="AK47" i="40"/>
  <c r="AL47" i="40"/>
  <c r="H50" i="40"/>
  <c r="AI50" i="40"/>
  <c r="AK50" i="40"/>
  <c r="AL50" i="40"/>
  <c r="H51" i="40"/>
  <c r="AI51" i="40"/>
  <c r="AK51" i="40"/>
  <c r="AL51" i="40"/>
  <c r="H52" i="40"/>
  <c r="AI52" i="40"/>
  <c r="AK52" i="40"/>
  <c r="AL52" i="40"/>
  <c r="H53" i="40"/>
  <c r="AI53" i="40"/>
  <c r="AK53" i="40"/>
  <c r="AL53" i="40"/>
  <c r="H56" i="40"/>
  <c r="AI56" i="40"/>
  <c r="AK56" i="40"/>
  <c r="AL56" i="40"/>
  <c r="H57" i="40"/>
  <c r="AI57" i="40"/>
  <c r="AK57" i="40"/>
  <c r="AL57" i="40"/>
  <c r="H64" i="40"/>
  <c r="AI64" i="40"/>
  <c r="AK64" i="40"/>
  <c r="AL64" i="40"/>
  <c r="H65" i="40"/>
  <c r="AI65" i="40"/>
  <c r="AK65" i="40"/>
  <c r="AL65" i="40"/>
  <c r="H70" i="40"/>
  <c r="AI70" i="40"/>
  <c r="AK70" i="40"/>
  <c r="AL70" i="40"/>
  <c r="H71" i="40"/>
  <c r="AI71" i="40"/>
  <c r="AK71" i="40"/>
  <c r="AL71" i="40"/>
  <c r="H74" i="40"/>
  <c r="AI74" i="40"/>
  <c r="AK74" i="40"/>
  <c r="AL74" i="40"/>
  <c r="H75" i="40"/>
  <c r="AI75" i="40"/>
  <c r="AK75" i="40"/>
  <c r="AL75" i="40"/>
  <c r="H78" i="40"/>
  <c r="AI78" i="40"/>
  <c r="AK78" i="40"/>
  <c r="AL78" i="40"/>
  <c r="H79" i="40"/>
  <c r="AI79" i="40"/>
  <c r="AK79" i="40"/>
  <c r="AL79" i="40"/>
  <c r="H94" i="40"/>
  <c r="AI94" i="40"/>
  <c r="AK94" i="40"/>
  <c r="AL94" i="40"/>
  <c r="H95" i="40"/>
  <c r="AI95" i="40"/>
  <c r="AK95" i="40"/>
  <c r="AL95" i="40"/>
  <c r="H98" i="40"/>
  <c r="AI98" i="40"/>
  <c r="AK98" i="40"/>
  <c r="AL98" i="40"/>
  <c r="H99" i="40"/>
  <c r="AI99" i="40"/>
  <c r="AK99" i="40"/>
  <c r="AL99" i="40"/>
  <c r="H100" i="40"/>
  <c r="AI100" i="40"/>
  <c r="AK100" i="40"/>
  <c r="AL100" i="40"/>
  <c r="H101" i="40"/>
  <c r="AI101" i="40"/>
  <c r="AK101" i="40"/>
  <c r="AL101" i="40"/>
  <c r="H104" i="40"/>
  <c r="AI104" i="40"/>
  <c r="AK104" i="40"/>
  <c r="AL104" i="40"/>
  <c r="H105" i="40"/>
  <c r="AI105" i="40"/>
  <c r="AK105" i="40"/>
  <c r="AL105" i="40"/>
  <c r="H128" i="40"/>
  <c r="AI128" i="40"/>
  <c r="AK128" i="40"/>
  <c r="AL128" i="40"/>
  <c r="H129" i="40"/>
  <c r="AI129" i="40"/>
  <c r="AK129" i="40"/>
  <c r="AL129" i="40"/>
  <c r="H130" i="40"/>
  <c r="AI130" i="40"/>
  <c r="AK130" i="40"/>
  <c r="AL130" i="40"/>
  <c r="H131" i="40"/>
  <c r="AI131" i="40"/>
  <c r="AK131" i="40"/>
  <c r="AL131" i="40"/>
  <c r="D225" i="40"/>
  <c r="E225" i="40"/>
  <c r="W225" i="40"/>
  <c r="AG225" i="40"/>
  <c r="G285" i="40"/>
  <c r="W285" i="40"/>
  <c r="AG285" i="40"/>
  <c r="G287" i="40"/>
  <c r="W287" i="40"/>
  <c r="AG287" i="40"/>
  <c r="B4" i="36"/>
  <c r="B5" i="36"/>
  <c r="B7" i="36"/>
  <c r="C7" i="36"/>
  <c r="B8" i="36"/>
  <c r="C8" i="36"/>
  <c r="B10" i="36"/>
  <c r="C10" i="36"/>
  <c r="B11" i="36"/>
  <c r="C11" i="36"/>
  <c r="B132" i="53"/>
  <c r="B193" i="53"/>
  <c r="D2" i="2"/>
  <c r="D7" i="2"/>
  <c r="O7" i="2"/>
  <c r="AC7" i="2"/>
  <c r="D17" i="2"/>
  <c r="O17" i="2"/>
  <c r="AC17" i="2"/>
  <c r="D18" i="2"/>
  <c r="G18" i="2"/>
  <c r="O18" i="2"/>
  <c r="AC18" i="2"/>
  <c r="D21" i="2"/>
  <c r="AC21" i="2"/>
  <c r="D22" i="2"/>
  <c r="G22" i="2"/>
  <c r="O22" i="2"/>
  <c r="AC22" i="2"/>
  <c r="H23" i="2"/>
  <c r="H24" i="2"/>
  <c r="H25" i="2"/>
  <c r="D26" i="2"/>
  <c r="AC26" i="2"/>
  <c r="D27" i="2"/>
  <c r="V27" i="2"/>
  <c r="X27" i="2"/>
  <c r="Z27" i="2"/>
  <c r="AC27" i="2"/>
  <c r="H28" i="2"/>
  <c r="N29" i="2"/>
  <c r="P29" i="2"/>
  <c r="Q29" i="2"/>
  <c r="N31" i="2"/>
  <c r="P31" i="2"/>
  <c r="Q31" i="2"/>
  <c r="N37" i="2"/>
  <c r="P37" i="2"/>
  <c r="Q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1"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H14" authorId="0" shapeId="0" xr:uid="{00000000-0006-0000-0300-000002000000}">
      <text>
        <r>
          <rPr>
            <b/>
            <sz val="9"/>
            <color indexed="81"/>
            <rFont val="Tahoma"/>
            <family val="2"/>
          </rPr>
          <t>Richtsatz</t>
        </r>
        <r>
          <rPr>
            <sz val="9"/>
            <color indexed="81"/>
            <rFont val="Tahoma"/>
            <family val="2"/>
          </rPr>
          <t xml:space="preserve">
(unter Berücksichtigung von
Debut-/Debutautorenfilm bzw. ILV)</t>
        </r>
      </text>
    </comment>
    <comment ref="C28"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28"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28"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H4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t>
        </r>
      </text>
    </comment>
    <comment ref="AQ64"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AQ90"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AQ114" authorId="1" shapeId="0" xr:uid="{00000000-0006-0000-0300-000009000000}">
      <text>
        <r>
          <rPr>
            <b/>
            <sz val="8"/>
            <color indexed="81"/>
            <rFont val="Tahoma"/>
            <family val="2"/>
          </rPr>
          <t>zapp:</t>
        </r>
        <r>
          <rPr>
            <sz val="8"/>
            <color indexed="81"/>
            <rFont val="Tahoma"/>
            <family val="2"/>
          </rPr>
          <t xml:space="preserve">
electrician, best boy</t>
        </r>
      </text>
    </comment>
    <comment ref="AQ122" authorId="1" shapeId="0" xr:uid="{00000000-0006-0000-0300-00000A000000}">
      <text>
        <r>
          <rPr>
            <b/>
            <sz val="8"/>
            <color indexed="81"/>
            <rFont val="Tahoma"/>
            <family val="2"/>
          </rPr>
          <t>zapp:</t>
        </r>
        <r>
          <rPr>
            <sz val="8"/>
            <color indexed="81"/>
            <rFont val="Tahoma"/>
            <family val="2"/>
          </rPr>
          <t xml:space="preserve">
rigger</t>
        </r>
      </text>
    </comment>
    <comment ref="D133"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G134" authorId="0" shapeId="0" xr:uid="{364963E1-B2A5-4AAC-ACB0-A94935FC8019}">
      <text>
        <r>
          <rPr>
            <sz val="9"/>
            <color indexed="81"/>
            <rFont val="Segoe UI"/>
            <family val="2"/>
          </rPr>
          <t>Bruttogage plus Lohnnebenkosten werden mit max. € 7.000 anerkannt. (ILV 80%)
Bei BMKÖS-Projekten max. € 3.000!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N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List>
</comments>
</file>

<file path=xl/sharedStrings.xml><?xml version="1.0" encoding="utf-8"?>
<sst xmlns="http://schemas.openxmlformats.org/spreadsheetml/2006/main" count="1645" uniqueCount="1179">
  <si>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</si>
  <si>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</si>
  <si>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</si>
  <si>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</si>
  <si>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</si>
  <si>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</si>
  <si>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</si>
  <si>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</si>
  <si>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</si>
  <si>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</si>
  <si>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</si>
  <si>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</si>
  <si>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</si>
  <si>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</si>
  <si>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</si>
  <si>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</si>
  <si>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</si>
  <si>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</si>
  <si>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</si>
  <si>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</si>
  <si>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</si>
  <si>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</si>
  <si>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</si>
  <si>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</si>
  <si>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</si>
  <si>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</si>
  <si>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</si>
  <si>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</si>
  <si>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</si>
  <si>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</si>
  <si>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</si>
  <si>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</si>
  <si>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</si>
  <si>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</si>
  <si>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</si>
  <si>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</si>
  <si>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</si>
  <si>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</si>
  <si>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</si>
  <si>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</si>
  <si>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</si>
  <si>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</si>
  <si>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</si>
  <si>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</si>
  <si>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</si>
  <si>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</si>
  <si>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</si>
  <si>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</si>
  <si>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</si>
  <si>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</si>
  <si>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</si>
  <si>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</si>
  <si>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</si>
  <si>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</si>
  <si>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</si>
  <si>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</si>
  <si>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</si>
  <si>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</si>
  <si>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</si>
  <si>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</si>
  <si>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</si>
  <si>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</si>
  <si>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</si>
  <si>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</si>
  <si>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</si>
  <si>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</si>
  <si>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</si>
  <si>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</si>
  <si>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</si>
  <si>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</si>
  <si>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</si>
  <si>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</si>
  <si>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</si>
  <si>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</si>
  <si>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</si>
  <si>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</si>
  <si>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</si>
  <si>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</si>
  <si>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</si>
  <si>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</si>
  <si>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</si>
  <si>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</si>
  <si>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</si>
  <si>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</si>
  <si>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</si>
  <si>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</si>
  <si>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</si>
  <si>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</si>
  <si>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</si>
  <si>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</si>
  <si>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</si>
  <si>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</si>
  <si>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</si>
  <si>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</si>
  <si>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</si>
  <si>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</si>
  <si>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</si>
  <si>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</si>
  <si>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</si>
  <si>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</si>
  <si>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</si>
  <si>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</si>
  <si>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</si>
  <si>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</si>
  <si>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</si>
  <si>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</si>
  <si>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</si>
  <si>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</si>
  <si>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</si>
  <si>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</si>
  <si>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</si>
  <si>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</si>
  <si>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</si>
  <si>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</si>
  <si>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</si>
  <si>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</si>
  <si>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</si>
  <si>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</si>
  <si>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</si>
  <si>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</si>
  <si>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</si>
  <si>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</si>
  <si>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</si>
  <si>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</si>
  <si>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Projektförderung</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</si>
  <si>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</si>
  <si>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</si>
  <si>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</si>
  <si>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</si>
  <si>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</si>
  <si>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</si>
  <si>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</si>
  <si>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</si>
  <si>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</si>
  <si>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</si>
  <si>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</si>
  <si>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</si>
  <si>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</si>
  <si>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</si>
  <si>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</si>
  <si>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</si>
  <si>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</si>
  <si>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</si>
  <si>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</si>
  <si>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</si>
  <si>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</si>
  <si>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</si>
  <si>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</si>
  <si>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</si>
  <si>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</si>
  <si>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</si>
  <si>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</si>
  <si>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</si>
  <si>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</si>
  <si>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</si>
  <si>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</si>
  <si>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</si>
  <si>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</si>
  <si>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</si>
  <si>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laufende</t>
  </si>
  <si>
    <t>Bezüge</t>
  </si>
  <si>
    <t>Sonder-</t>
  </si>
  <si>
    <t>zahlung</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</si>
  <si>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</si>
  <si>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</si>
  <si>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</si>
  <si>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</si>
  <si>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</si>
  <si>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</si>
  <si>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</si>
  <si>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</si>
  <si>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</si>
  <si>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</si>
  <si>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</si>
  <si>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</si>
  <si>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</si>
  <si>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</si>
  <si>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</si>
  <si>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</si>
  <si>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</si>
  <si>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</si>
  <si>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</si>
  <si>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</si>
  <si>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</si>
  <si>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</si>
  <si>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</si>
  <si>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</si>
  <si>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</si>
  <si>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</si>
  <si>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</si>
  <si>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</si>
  <si>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</si>
  <si>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</si>
  <si>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</si>
  <si>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</si>
  <si>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AUSLAND</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</si>
  <si>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</si>
  <si>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</si>
  <si>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</si>
  <si>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</si>
  <si>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</si>
  <si>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</si>
  <si>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</si>
  <si>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</si>
  <si>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</si>
  <si>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</si>
  <si>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</si>
  <si>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</si>
  <si>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</si>
  <si>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</si>
  <si>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</si>
  <si>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</si>
  <si>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</si>
  <si>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</si>
  <si>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</si>
  <si>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</si>
  <si>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</si>
  <si>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</si>
  <si>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</si>
  <si>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</si>
  <si>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Projekttitel</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</si>
  <si>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</si>
  <si>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</si>
  <si>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</si>
  <si>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</si>
  <si>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</si>
  <si>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</si>
  <si>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</si>
  <si>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</si>
  <si>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</si>
  <si>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</si>
  <si>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</si>
  <si>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</si>
  <si>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</si>
  <si>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</si>
  <si>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</si>
  <si>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</si>
  <si>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</si>
  <si>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</si>
  <si>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</si>
  <si>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</si>
  <si>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</si>
  <si>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</si>
  <si>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</si>
  <si>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</si>
  <si>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</si>
  <si>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</si>
  <si>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</si>
  <si>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</si>
  <si>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</si>
  <si>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</si>
  <si>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Zusage</t>
  </si>
  <si>
    <t>Antrag</t>
  </si>
  <si>
    <t>Vertrag</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</si>
  <si>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</si>
  <si>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</si>
  <si>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</si>
  <si>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</si>
  <si>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</si>
  <si>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</si>
  <si>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</si>
  <si>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</si>
  <si>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</si>
  <si>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</si>
  <si>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</si>
  <si>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</si>
  <si>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</si>
  <si>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</si>
  <si>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</si>
  <si>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</si>
  <si>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</si>
  <si>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</si>
  <si>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</si>
  <si>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</si>
  <si>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(ab 01.07.08)</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</si>
  <si>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</si>
  <si>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</si>
  <si>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</si>
  <si>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</si>
  <si>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</si>
  <si>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</si>
  <si>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</si>
  <si>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</si>
  <si>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</si>
  <si>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</si>
  <si>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</si>
  <si>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</si>
  <si>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</si>
  <si>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</si>
  <si>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</si>
  <si>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</si>
  <si>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</si>
  <si>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</si>
  <si>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</si>
  <si>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</si>
  <si>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</si>
  <si>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</si>
  <si>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</si>
  <si>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</si>
  <si>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</si>
  <si>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</si>
  <si>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</si>
  <si>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</si>
  <si>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</si>
  <si>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</si>
  <si>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</si>
  <si>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</si>
  <si>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</si>
  <si>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</si>
  <si>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</si>
  <si>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</si>
  <si>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</si>
  <si>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</si>
  <si>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</si>
  <si>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</si>
  <si>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</si>
  <si>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</si>
  <si>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</si>
  <si>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</si>
  <si>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</si>
  <si>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</si>
  <si>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</si>
  <si>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</si>
  <si>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</si>
  <si>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</si>
  <si>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</si>
  <si>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</si>
  <si>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</si>
  <si>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</si>
  <si>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</si>
  <si>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</si>
  <si>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</si>
  <si>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</si>
  <si>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</si>
  <si>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</si>
  <si>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</si>
  <si>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</si>
  <si>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</si>
  <si>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</si>
  <si>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</si>
  <si>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</si>
  <si>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</si>
  <si>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</si>
  <si>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</si>
  <si>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</si>
  <si>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</si>
  <si>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</si>
  <si>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</si>
  <si>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</si>
  <si>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</si>
  <si>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</si>
  <si>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weekly allowance (§7 KV)</t>
  </si>
  <si>
    <t>1. Assistant director (AD)</t>
  </si>
  <si>
    <t>Director of Photography</t>
  </si>
  <si>
    <t>Sound Editor</t>
  </si>
  <si>
    <t>Assistant Editor</t>
  </si>
  <si>
    <t>Prop buyer</t>
  </si>
  <si>
    <t>Prop driver</t>
  </si>
  <si>
    <t>Assistant make-up</t>
  </si>
  <si>
    <t>Hair stylist</t>
  </si>
  <si>
    <t>Dolly grip</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</si>
  <si>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</si>
  <si>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</si>
  <si>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</si>
  <si>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</si>
  <si>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</si>
  <si>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</si>
  <si>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</si>
  <si>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</si>
  <si>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</si>
  <si>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</si>
  <si>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</si>
  <si>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</si>
  <si>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</si>
  <si>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</si>
  <si>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</si>
  <si>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</si>
  <si>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</si>
  <si>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</si>
  <si>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</si>
  <si>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</si>
  <si>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</si>
  <si>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</si>
  <si>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</si>
  <si>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</si>
  <si>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</si>
  <si>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</si>
  <si>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</si>
  <si>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</si>
  <si>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</si>
  <si>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</si>
  <si>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</si>
  <si>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</si>
  <si>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</si>
  <si>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</si>
  <si>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</si>
  <si>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</si>
  <si>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</si>
  <si>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</si>
  <si>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</si>
  <si>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</si>
  <si>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</si>
  <si>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</si>
  <si>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</si>
  <si>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</si>
  <si>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</si>
  <si>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</si>
  <si>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</si>
  <si>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</si>
  <si>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</si>
  <si>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</si>
  <si>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</si>
  <si>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</si>
  <si>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</si>
  <si>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</si>
  <si>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</si>
  <si>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</si>
  <si>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</si>
  <si>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</si>
  <si>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</si>
  <si>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</si>
  <si>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</si>
  <si>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</si>
  <si>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</si>
  <si>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</si>
  <si>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</si>
  <si>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</si>
  <si>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</si>
  <si>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</si>
  <si>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</si>
  <si>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</si>
  <si>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</si>
  <si>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</si>
  <si>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</si>
  <si>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</si>
  <si>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</si>
  <si>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</si>
  <si>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</si>
  <si>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</si>
  <si>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</si>
  <si>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</si>
  <si>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</si>
  <si>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</si>
  <si>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</si>
  <si>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</si>
  <si>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</si>
  <si>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</si>
  <si>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</si>
  <si>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</si>
  <si>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</si>
  <si>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</si>
  <si>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</si>
  <si>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</si>
  <si>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</si>
  <si>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</si>
  <si>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</si>
  <si>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</si>
  <si>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</si>
  <si>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</si>
  <si>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</si>
  <si>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</si>
  <si>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</si>
  <si>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</si>
  <si>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</si>
  <si>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</si>
  <si>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</si>
  <si>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</si>
  <si>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</si>
  <si>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</si>
  <si>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</si>
  <si>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</si>
  <si>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</si>
  <si>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</si>
  <si>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</si>
  <si>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</si>
  <si>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</si>
  <si>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</si>
  <si>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</si>
  <si>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</si>
  <si>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</si>
  <si>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</si>
  <si>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</si>
  <si>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</si>
  <si>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</si>
  <si>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</si>
  <si>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</si>
  <si>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</si>
  <si>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</si>
  <si>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</si>
  <si>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</si>
  <si>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</si>
  <si>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</si>
  <si>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Make-up artist</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</si>
  <si>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</si>
  <si>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</si>
  <si>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</si>
  <si>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</si>
  <si>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</si>
  <si>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</si>
  <si>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</si>
  <si>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</si>
  <si>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</si>
  <si>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</si>
  <si>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</si>
  <si>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</si>
  <si>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</si>
  <si>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</si>
  <si>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</si>
  <si>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</si>
  <si>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</si>
  <si>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</si>
  <si>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Sound engineer</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</si>
  <si>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</si>
  <si>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</si>
  <si>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</si>
  <si>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</si>
  <si>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</si>
  <si>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</si>
  <si>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</si>
  <si>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</si>
  <si>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</si>
  <si>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</si>
  <si>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</si>
  <si>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</si>
  <si>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</si>
  <si>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</si>
  <si>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</si>
  <si>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</si>
  <si>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</si>
  <si>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</si>
  <si>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</si>
  <si>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</si>
  <si>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</si>
  <si>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</si>
  <si>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</si>
  <si>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</si>
  <si>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</si>
  <si>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</si>
  <si>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</si>
  <si>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</si>
  <si>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</si>
  <si>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</si>
  <si>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</si>
  <si>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</si>
  <si>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</si>
  <si>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Datum</t>
  </si>
  <si>
    <t>Date of</t>
  </si>
  <si>
    <t>Commit-ment</t>
  </si>
  <si>
    <t>Appli-cation</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</si>
  <si>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</si>
  <si>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</si>
  <si>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</si>
  <si>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</si>
  <si>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</si>
  <si>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</si>
  <si>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</si>
  <si>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</si>
  <si>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</si>
  <si>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</si>
  <si>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</si>
  <si>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</si>
  <si>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REICH</t>
  </si>
  <si>
    <t>ÖSTER-</t>
  </si>
  <si>
    <t>ORTS-</t>
  </si>
  <si>
    <t>GEBIET</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</si>
  <si>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</si>
  <si>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</si>
  <si>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</si>
  <si>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</si>
  <si>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</si>
  <si>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</si>
  <si>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</si>
  <si>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</si>
  <si>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</si>
  <si>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</si>
  <si>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</si>
  <si>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</si>
  <si>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</si>
  <si>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</si>
  <si>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</si>
  <si>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</si>
  <si>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</si>
  <si>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</si>
  <si>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</si>
  <si>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</si>
  <si>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</si>
  <si>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</si>
  <si>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</si>
  <si>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</si>
  <si>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</si>
  <si>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</si>
  <si>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</si>
  <si>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</si>
  <si>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</si>
  <si>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</si>
  <si>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</si>
  <si>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</si>
  <si>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</si>
  <si>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</si>
  <si>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</si>
  <si>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</si>
  <si>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</si>
  <si>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</si>
  <si>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</si>
  <si>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</si>
  <si>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</si>
  <si>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</si>
  <si>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</si>
  <si>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</si>
  <si>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</si>
  <si>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</si>
  <si>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</si>
  <si>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</si>
  <si>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</si>
  <si>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</si>
  <si>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</si>
  <si>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</si>
  <si>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</si>
  <si>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</si>
  <si>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 II</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</si>
  <si>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</si>
  <si>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</si>
  <si>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</si>
  <si>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</si>
  <si>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</si>
  <si>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</si>
  <si>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</si>
  <si>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</si>
  <si>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</si>
  <si>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</si>
  <si>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</si>
  <si>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</si>
  <si>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</si>
  <si>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</si>
  <si>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</si>
  <si>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</si>
  <si>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</si>
  <si>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</si>
  <si>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</si>
  <si>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</si>
  <si>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</si>
  <si>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</si>
  <si>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</si>
  <si>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</si>
  <si>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</si>
  <si>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</si>
  <si>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</si>
  <si>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</si>
  <si>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</si>
  <si>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</si>
  <si>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</si>
  <si>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</si>
  <si>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</si>
  <si>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</si>
  <si>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</si>
  <si>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</si>
  <si>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</si>
  <si>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</si>
  <si>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</si>
  <si>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65.0</t>
  </si>
  <si>
    <t>65.1</t>
  </si>
  <si>
    <t>65.2</t>
  </si>
  <si>
    <t>65.3</t>
  </si>
  <si>
    <t>65.4</t>
  </si>
  <si>
    <t>65.5</t>
  </si>
  <si>
    <t>65.6</t>
  </si>
  <si>
    <t>65.7</t>
  </si>
  <si>
    <t>65.8</t>
  </si>
  <si>
    <t>65.9</t>
  </si>
  <si>
    <t>78.0</t>
  </si>
  <si>
    <t>78.1</t>
  </si>
  <si>
    <t>78.2</t>
  </si>
  <si>
    <t>78.3</t>
  </si>
  <si>
    <t>78.4</t>
  </si>
  <si>
    <t>78.5</t>
  </si>
  <si>
    <t>78.6</t>
  </si>
  <si>
    <t>78.7</t>
  </si>
  <si>
    <t>78.8</t>
  </si>
  <si>
    <t>78.9</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</si>
  <si>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</si>
  <si>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</si>
  <si>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</si>
  <si>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</si>
  <si>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</si>
  <si>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</si>
  <si>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</si>
  <si>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</si>
  <si>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</si>
  <si>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</si>
  <si>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</si>
  <si>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</si>
  <si>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</si>
  <si>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</si>
  <si>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</si>
  <si>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</si>
  <si>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</si>
  <si>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</si>
  <si>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</si>
  <si>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</si>
  <si>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</si>
  <si>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</si>
  <si>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133.1</t>
  </si>
  <si>
    <t>133.2</t>
  </si>
  <si>
    <t>133.3</t>
  </si>
  <si>
    <t>133.4</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</si>
  <si>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</si>
  <si>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</si>
  <si>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</si>
  <si>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</si>
  <si>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</si>
  <si>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</si>
  <si>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</si>
  <si>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</si>
  <si>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</si>
  <si>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</si>
  <si>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</si>
  <si>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</si>
  <si>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</si>
  <si>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</si>
  <si>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</si>
  <si>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</si>
  <si>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</si>
  <si>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</si>
  <si>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</si>
  <si>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</si>
  <si>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</si>
  <si>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</si>
  <si>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</si>
  <si>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</si>
  <si>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</si>
  <si>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</si>
  <si>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</si>
  <si>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</si>
  <si>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</si>
  <si>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</si>
  <si>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</si>
  <si>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</si>
  <si>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</si>
  <si>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</si>
  <si>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</si>
  <si>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</si>
  <si>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</si>
  <si>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</si>
  <si>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</si>
  <si>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</si>
  <si>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</si>
  <si>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</si>
  <si>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</si>
  <si>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</si>
  <si>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Vertragspartner</t>
  </si>
  <si>
    <t>Budget</t>
  </si>
  <si>
    <t>Abrechnung</t>
  </si>
  <si>
    <t>SUMME bewertete Eigenleistungen (ILV)</t>
  </si>
  <si>
    <t>65.10</t>
  </si>
  <si>
    <t>65.11</t>
  </si>
  <si>
    <t>65.12</t>
  </si>
  <si>
    <t>65.13</t>
  </si>
  <si>
    <t>65.14</t>
  </si>
  <si>
    <t>65.15</t>
  </si>
  <si>
    <t>65.16</t>
  </si>
  <si>
    <t>65.17</t>
  </si>
  <si>
    <t>65.18</t>
  </si>
  <si>
    <t>65.19</t>
  </si>
  <si>
    <t>65.20</t>
  </si>
  <si>
    <t>weiblich</t>
  </si>
  <si>
    <t>78.10</t>
  </si>
  <si>
    <t>78.11</t>
  </si>
  <si>
    <t>78.12</t>
  </si>
  <si>
    <t>78.13</t>
  </si>
  <si>
    <t>78.14</t>
  </si>
  <si>
    <t>78.15</t>
  </si>
  <si>
    <t>78.16</t>
  </si>
  <si>
    <t>78.17</t>
  </si>
  <si>
    <t>78.18</t>
  </si>
  <si>
    <t>78.19</t>
  </si>
  <si>
    <t>78.20</t>
  </si>
  <si>
    <t>65.21</t>
  </si>
  <si>
    <t>65.22</t>
  </si>
  <si>
    <t>65.23</t>
  </si>
  <si>
    <t>65.24</t>
  </si>
  <si>
    <t>65.25</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</si>
  <si>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</si>
  <si>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</si>
  <si>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</si>
  <si>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</si>
  <si>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</si>
  <si>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</si>
  <si>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</si>
  <si>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</si>
  <si>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</si>
  <si>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</si>
  <si>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</si>
  <si>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</si>
  <si>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</si>
  <si>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</si>
  <si>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Ton I              Ton II</t>
  </si>
  <si>
    <t>Debutfilm (1. abendfüllender Kinofilm)</t>
  </si>
  <si>
    <t>Barmittel (min. 2,5% v. HSTK)</t>
  </si>
  <si>
    <t>Cash (min. 2,5% of TPC)</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</si>
  <si>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</si>
  <si>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</si>
  <si>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</si>
  <si>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</si>
  <si>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</si>
  <si>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</si>
  <si>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</si>
  <si>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</si>
  <si>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</si>
  <si>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</si>
  <si>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</si>
  <si>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</si>
  <si>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</si>
  <si>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</si>
  <si>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</si>
  <si>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</si>
  <si>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</si>
  <si>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</si>
  <si>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</si>
  <si>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</si>
  <si>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</si>
  <si>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</si>
  <si>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</si>
  <si>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</si>
  <si>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</si>
  <si>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</si>
  <si>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</si>
  <si>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</si>
  <si>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</si>
  <si>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</si>
  <si>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</si>
  <si>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</si>
  <si>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</si>
  <si>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</si>
  <si>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Neben-   räume</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</si>
  <si>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</si>
  <si>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</si>
  <si>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</si>
  <si>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</si>
  <si>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</si>
  <si>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</si>
  <si>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</si>
  <si>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</si>
  <si>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</si>
  <si>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</si>
  <si>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shut-off aids</t>
  </si>
  <si>
    <t>Absperr-hilfen</t>
  </si>
  <si>
    <t>19.</t>
  </si>
  <si>
    <t>Kamera im Verbund</t>
  </si>
  <si>
    <t>Schwenker (Operator)</t>
  </si>
  <si>
    <t>Teamassistenz (ENG Team)</t>
  </si>
  <si>
    <t>Digital Image Technican (DIT)</t>
  </si>
  <si>
    <t>Editor (Schnitt)</t>
  </si>
  <si>
    <t>Werkstattprojekt (§ 19 KV)</t>
  </si>
  <si>
    <t xml:space="preserve">    zur Feststellung ihrer beruflichen Eignung in Aufgabengebieten des Filmschaffens eingesetzt werden</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</si>
  <si>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</si>
  <si>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</si>
  <si>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</si>
  <si>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</si>
  <si>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</si>
  <si>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</si>
  <si>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</si>
  <si>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</si>
  <si>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</si>
  <si>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r>
      <t xml:space="preserve">Ton I </t>
    </r>
    <r>
      <rPr>
        <vertAlign val="superscript"/>
        <sz val="12"/>
        <color theme="0"/>
        <rFont val="Verdana"/>
        <family val="2"/>
      </rPr>
      <t>4)</t>
    </r>
  </si>
  <si>
    <r>
      <t xml:space="preserve">Medienfachkraft </t>
    </r>
    <r>
      <rPr>
        <vertAlign val="superscript"/>
        <sz val="12"/>
        <color theme="0"/>
        <rFont val="Verdana"/>
        <family val="2"/>
      </rPr>
      <t>5)</t>
    </r>
  </si>
  <si>
    <r>
      <t xml:space="preserve">Filmaushilfskraft </t>
    </r>
    <r>
      <rPr>
        <vertAlign val="superscript"/>
        <sz val="12"/>
        <color theme="0"/>
        <rFont val="Verdana"/>
        <family val="2"/>
      </rPr>
      <t>6)</t>
    </r>
  </si>
  <si>
    <r>
      <rPr>
        <vertAlign val="superscript"/>
        <sz val="12"/>
        <color theme="0"/>
        <rFont val="Verdana"/>
        <family val="2"/>
      </rPr>
      <t>1)</t>
    </r>
    <r>
      <rPr>
        <sz val="12"/>
        <color theme="0"/>
        <rFont val="Verdana"/>
        <family val="2"/>
      </rPr>
      <t xml:space="preserve"> Kamera I: Fiktionale Filme für die Verwertung im Kino, Fernsehen und Kino -und fernsehähnliche fiktionale Filme für die Verwertung Online sowie Werbefilme</t>
    </r>
  </si>
  <si>
    <r>
      <rPr>
        <vertAlign val="superscript"/>
        <sz val="12"/>
        <color theme="0"/>
        <rFont val="Verdana"/>
        <family val="2"/>
      </rPr>
      <t>2)</t>
    </r>
    <r>
      <rPr>
        <sz val="12"/>
        <color theme="0"/>
        <rFont val="Verdana"/>
        <family val="2"/>
      </rPr>
      <t xml:space="preserve"> Kamera II: 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</si>
  <si>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Kamera III: Wirtschafts-, Image- und Bildungsfilme</t>
    </r>
  </si>
  <si>
    <r>
      <rPr>
        <vertAlign val="superscript"/>
        <sz val="12"/>
        <color theme="0"/>
        <rFont val="Verdana"/>
        <family val="2"/>
      </rPr>
      <t>4)</t>
    </r>
    <r>
      <rPr>
        <sz val="12"/>
        <color theme="0"/>
        <rFont val="Verdana"/>
        <family val="2"/>
      </rPr>
      <t xml:space="preserve"> Voraussetzung für die Einreihung in die Verwendungsgruppe Tonmeister I ist eine mindestens 15-jährige Praxis als Tonmeister II</t>
    </r>
  </si>
  <si>
    <r>
      <rPr>
        <vertAlign val="superscript"/>
        <sz val="12"/>
        <color theme="0"/>
        <rFont val="Verdana"/>
        <family val="2"/>
      </rPr>
      <t>5)</t>
    </r>
    <r>
      <rPr>
        <sz val="12"/>
        <color theme="0"/>
        <rFont val="Verdana"/>
        <family val="2"/>
      </rPr>
      <t xml:space="preserve"> nur bei Wirtschafts-, Image- und Bildungsfilmen</t>
    </r>
  </si>
  <si>
    <r>
      <rPr>
        <vertAlign val="superscript"/>
        <sz val="12"/>
        <color theme="0"/>
        <rFont val="Verdana"/>
        <family val="2"/>
      </rPr>
      <t>6)</t>
    </r>
    <r>
      <rPr>
        <sz val="12"/>
        <color theme="0"/>
        <rFont val="Verdana"/>
        <family val="2"/>
      </rPr>
      <t xml:space="preserve"> ArbeitnehmerInnen ohne Zweckausbildung, die schematische oder mechanische Arbeiten, insbesondere einfache Hilfsarbeiten auf manueller Natur verrichten oder die in Betrieben der Filmwirtschaft</t>
    </r>
  </si>
  <si>
    <t>65.26</t>
  </si>
  <si>
    <t>65.27</t>
  </si>
  <si>
    <t>65.28</t>
  </si>
  <si>
    <t>65.29</t>
  </si>
  <si>
    <t>65.30</t>
  </si>
  <si>
    <t>78.21</t>
  </si>
  <si>
    <t>78.22</t>
  </si>
  <si>
    <t>78.23</t>
  </si>
  <si>
    <t>78.24</t>
  </si>
  <si>
    <t>78.25</t>
  </si>
  <si>
    <t>126.1</t>
  </si>
  <si>
    <t>126.2</t>
  </si>
  <si>
    <t>126.3</t>
  </si>
  <si>
    <t>132.1</t>
  </si>
  <si>
    <t>132.2</t>
  </si>
  <si>
    <t>132.3</t>
  </si>
  <si>
    <t>132.4</t>
  </si>
  <si>
    <t>133.5</t>
  </si>
  <si>
    <t>133.6</t>
  </si>
  <si>
    <t>135.1</t>
  </si>
  <si>
    <t>135.2</t>
  </si>
  <si>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</si>
  <si>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</si>
  <si>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</si>
  <si>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</si>
  <si>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</si>
  <si>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</si>
  <si>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</si>
  <si>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</si>
  <si>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</si>
  <si>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</si>
  <si>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</si>
  <si>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</si>
  <si>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</si>
  <si>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</si>
  <si>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</si>
  <si>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</si>
  <si>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</si>
  <si>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</si>
  <si>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</si>
  <si>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</si>
  <si>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</si>
  <si>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65.31</t>
  </si>
  <si>
    <t>65.32</t>
  </si>
  <si>
    <t>65.33</t>
  </si>
  <si>
    <t>65.34</t>
  </si>
  <si>
    <t>65.35</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</si>
  <si>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</si>
  <si>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</si>
  <si>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</si>
  <si>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</si>
  <si>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</si>
  <si>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</si>
  <si>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</si>
  <si>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</si>
  <si>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</si>
  <si>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</si>
  <si>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</si>
  <si>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</si>
  <si>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</si>
  <si>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</si>
  <si>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</si>
  <si>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</si>
  <si>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</si>
  <si>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</si>
  <si>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</si>
  <si>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</si>
  <si>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</si>
  <si>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</si>
  <si>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</si>
  <si>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</si>
  <si>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</si>
  <si>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</si>
  <si>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</si>
  <si>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r>
      <t xml:space="preserve">wirksam ab </t>
    </r>
    <r>
      <rPr>
        <b/>
        <sz val="12"/>
        <color theme="0"/>
        <rFont val="Verdana"/>
        <family val="2"/>
      </rPr>
      <t>1. Jänner 2023</t>
    </r>
  </si>
  <si>
    <t>(gilt für monatl. Beitragsgrundlagen über € 2.228)</t>
  </si>
  <si>
    <t>Version 23.1</t>
  </si>
  <si>
    <t>ab 1.1.2023</t>
  </si>
  <si>
    <t>Doku</t>
  </si>
  <si>
    <t>Kopro</t>
  </si>
  <si>
    <t>national</t>
  </si>
  <si>
    <t>Autor*innenfilm</t>
  </si>
  <si>
    <t>ÖFI+</t>
  </si>
  <si>
    <t>ÖFI+ IST</t>
  </si>
  <si>
    <t>Basisfinanzierung (30%)</t>
  </si>
  <si>
    <t>Green Bonus (5%)</t>
  </si>
  <si>
    <t>Koproduktionsbonus</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</si>
  <si>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</si>
  <si>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</si>
  <si>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</si>
  <si>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</si>
  <si>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</si>
  <si>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</si>
  <si>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</si>
  <si>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</si>
  <si>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</si>
  <si>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</si>
  <si>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</si>
  <si>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</si>
  <si>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</si>
  <si>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</si>
  <si>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Förderung durch BMKÖS/IF</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</si>
  <si>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</si>
  <si>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</si>
  <si>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</si>
  <si>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</si>
  <si>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</si>
  <si>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</si>
  <si>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</si>
  <si>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</si>
  <si>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</si>
  <si>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</si>
  <si>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</si>
  <si>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</si>
  <si>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</si>
  <si>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</si>
  <si>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</si>
  <si>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</si>
  <si>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</si>
  <si>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</si>
  <si>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</si>
  <si>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</si>
  <si>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</si>
  <si>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</si>
  <si>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</si>
  <si>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</si>
  <si>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</si>
  <si>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</si>
  <si>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</si>
  <si>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</si>
  <si>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</si>
  <si>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</si>
  <si>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</si>
  <si>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</si>
  <si>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</si>
  <si>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</si>
  <si>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</si>
  <si>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</si>
  <si>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</si>
  <si>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</si>
  <si>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</si>
  <si>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</si>
  <si>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</si>
  <si>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</si>
  <si>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</si>
  <si>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</si>
  <si>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</si>
  <si>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</si>
  <si>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</si>
  <si>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</si>
  <si>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</si>
  <si>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</si>
  <si>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</si>
  <si>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</si>
  <si>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</si>
  <si>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</si>
  <si>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</si>
  <si>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</si>
  <si>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</si>
  <si>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</si>
  <si>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</si>
  <si>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</si>
  <si>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</si>
  <si>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</si>
  <si>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</si>
  <si>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</si>
  <si>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</si>
  <si>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</si>
  <si>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</si>
  <si>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</si>
  <si>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</si>
  <si>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</si>
  <si>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</si>
  <si>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</si>
  <si>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</si>
  <si>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</si>
  <si>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</si>
  <si>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</si>
  <si>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</si>
  <si>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</si>
  <si>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</si>
  <si>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</si>
  <si>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</si>
  <si>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</si>
  <si>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</si>
  <si>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</si>
  <si>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</si>
  <si>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</si>
  <si>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</si>
  <si>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</si>
  <si>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</si>
  <si>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</si>
  <si>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</si>
  <si>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</si>
  <si>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</si>
  <si>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DATUM</t>
  </si>
  <si>
    <t>Ko-Partner</t>
  </si>
  <si>
    <t>REGIE-</t>
  </si>
  <si>
    <t>DREHBUCH-</t>
  </si>
  <si>
    <t>Basic Financing (30%)</t>
  </si>
  <si>
    <t>Coproduction bonus</t>
  </si>
  <si>
    <t>FFW</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</si>
  <si>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</si>
  <si>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</si>
  <si>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</si>
  <si>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</si>
  <si>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</si>
  <si>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</si>
  <si>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</si>
  <si>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</si>
  <si>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</si>
  <si>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</si>
  <si>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</si>
  <si>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</si>
  <si>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</si>
  <si>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</si>
  <si>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</si>
  <si>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</si>
  <si>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</si>
  <si>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</si>
  <si>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</si>
  <si>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</si>
  <si>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</si>
  <si>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</si>
  <si>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</si>
  <si>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</si>
  <si>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</si>
  <si>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</si>
  <si>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</si>
  <si>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</si>
  <si>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</si>
  <si>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Prep costs by public funding *)</t>
  </si>
  <si>
    <t>Prep costs by producer's funds*)</t>
  </si>
  <si>
    <t>ORF (Film/Fernseh-Abkommen)</t>
  </si>
  <si>
    <t>Public Broadcasting</t>
  </si>
  <si>
    <t>21.</t>
  </si>
  <si>
    <t>22.</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</si>
  <si>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</si>
  <si>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</si>
  <si>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</si>
  <si>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</si>
  <si>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</si>
  <si>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</si>
  <si>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</si>
  <si>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</si>
  <si>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</si>
  <si>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CASHFLOW-STAND</t>
  </si>
  <si>
    <t>Filminstitut</t>
  </si>
  <si>
    <t>ausbezahlt</t>
  </si>
  <si>
    <t>noch offen</t>
  </si>
  <si>
    <t>Zusätzlicher Wertschöpfungseffekt</t>
  </si>
  <si>
    <t>additional added value</t>
  </si>
  <si>
    <t>1.1</t>
  </si>
  <si>
    <t>1.2</t>
  </si>
  <si>
    <t>vor 2014</t>
  </si>
  <si>
    <t>Regie-Richtsatz</t>
  </si>
  <si>
    <t>ZUSÄTZLICHER WERTSCHÖPFUNGSEFFEKT</t>
  </si>
  <si>
    <t>Effekte</t>
  </si>
  <si>
    <t>Wertschöpfungsbonus **)</t>
  </si>
  <si>
    <t>Bemessungsgrundlage ÖFI+ (ex. Wertschöpfung) **)</t>
  </si>
  <si>
    <t>added value bonus **)</t>
  </si>
  <si>
    <t>assesment basis ÖFI+ (ex. added value) **)</t>
  </si>
  <si>
    <t>NEUE KALKULATIONSVORLAGE 2023</t>
  </si>
  <si>
    <r>
      <t xml:space="preserve">Die aktuelle Kalkulationsvorlage enthält die per 01.01.2023 gültigen Kollektivvertragstarife für Filmberufe sowie die Aktualisierungen zur Berechnung der Lohnnebenkosten. Mit 01.01.2023 ist das novellierte Filmförderungsgesetz in Kraft getreten auf dessen Grundlage das neue Förderungsprogramm </t>
    </r>
    <r>
      <rPr>
        <b/>
        <sz val="11"/>
        <rFont val="Verdana"/>
        <family val="2"/>
      </rPr>
      <t>ÖFI+</t>
    </r>
    <r>
      <rPr>
        <sz val="11"/>
        <rFont val="Verdana"/>
        <family val="2"/>
      </rPr>
      <t xml:space="preserve"> geregelt ist. Die Kalkulationsvorlage wurde dementsprechend angepasst und auch technisch abgeschlankt, um Kompatibilitätsprobleme mit Apple zu reduzieren.</t>
    </r>
  </si>
  <si>
    <t>GRUNDSÄTZLICHE INFORMATIONEN ZU</t>
  </si>
  <si>
    <t>Die wesentlichen mit ÖFI+ verfolgen Zielen lauten:</t>
  </si>
  <si>
    <r>
      <t>·</t>
    </r>
    <r>
      <rPr>
        <sz val="7"/>
        <rFont val="Times New Roman"/>
        <family val="1"/>
      </rPr>
      <t xml:space="preserve">         </t>
    </r>
    <r>
      <rPr>
        <sz val="11"/>
        <rFont val="Verdana"/>
        <family val="2"/>
      </rPr>
      <t>Steigerung der Wettbewerbsfähigkeit und der Attraktivität des Filmstandorts Österreich</t>
    </r>
  </si>
  <si>
    <r>
      <t>·</t>
    </r>
    <r>
      <rPr>
        <sz val="7"/>
        <rFont val="Times New Roman"/>
        <family val="1"/>
      </rPr>
      <t xml:space="preserve">         </t>
    </r>
    <r>
      <rPr>
        <sz val="11"/>
        <rFont val="Verdana"/>
        <family val="2"/>
      </rPr>
      <t>Anreiz zu nachhaltiger, umweltorientierter Produktion</t>
    </r>
  </si>
  <si>
    <r>
      <t>·</t>
    </r>
    <r>
      <rPr>
        <sz val="7"/>
        <rFont val="Times New Roman"/>
        <family val="1"/>
      </rPr>
      <t xml:space="preserve">         </t>
    </r>
    <r>
      <rPr>
        <sz val="11"/>
        <rFont val="Verdana"/>
        <family val="2"/>
      </rPr>
      <t>Zusätzlicher Beitrag zur Gleichbehandlung der Geschlechter</t>
    </r>
  </si>
  <si>
    <t>ÖFI+ ist eine automatische Förderung, die sich an der Höhe der in Österreich anfallenden, steuerlich relevanten Kosten bemisst (Basisfinanzierung 30%). Zudem können weitere Boni abgerufen werden, wenn die entsprechenden Kriterien erfüllt werden:</t>
  </si>
  <si>
    <r>
      <t>·</t>
    </r>
    <r>
      <rPr>
        <sz val="7"/>
        <rFont val="Times New Roman"/>
        <family val="1"/>
      </rPr>
      <t xml:space="preserve">         </t>
    </r>
    <r>
      <rPr>
        <sz val="11"/>
        <rFont val="Verdana"/>
        <family val="2"/>
      </rPr>
      <t>Green Bonus (5%)</t>
    </r>
  </si>
  <si>
    <r>
      <t>·</t>
    </r>
    <r>
      <rPr>
        <sz val="7"/>
        <rFont val="Times New Roman"/>
        <family val="1"/>
      </rPr>
      <t xml:space="preserve">         </t>
    </r>
    <r>
      <rPr>
        <sz val="11"/>
        <rFont val="Verdana"/>
        <family val="2"/>
      </rPr>
      <t>Gender Gap Financing (pauschal € 25.000)</t>
    </r>
  </si>
  <si>
    <r>
      <t>·</t>
    </r>
    <r>
      <rPr>
        <sz val="7"/>
        <rFont val="Times New Roman"/>
        <family val="1"/>
      </rPr>
      <t xml:space="preserve">         </t>
    </r>
    <r>
      <rPr>
        <sz val="11"/>
        <rFont val="Verdana"/>
        <family val="2"/>
      </rPr>
      <t>Wertschöpfungsbonus (abhängig von der Höhe des Mittelzuflusses bei internationalen Koproduktionen)</t>
    </r>
  </si>
  <si>
    <t>ÖFI+ ist pro Projekt mit 5 Mio. € gedeckelt, die in Österreich getätigten Mindestausgaben (anerkannte ÖFI+ Kosten) betragen bei Spielfilmen € 150.000, bei Dokumentarfilmen € 80.000. ÖFI+ ist auch mit BMKÖS/innovative Film kombinierbar, sofern es sich bei den Antragsteller*innen um fachlich qualifizierte Unternehmen mit Gewerbeschein und Vorsteuerabzugsberechtigung handelt.</t>
  </si>
  <si>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</si>
  <si>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</si>
  <si>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</si>
  <si>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t>Wenn Sie in der Hauptkalkulation in einzelnen Budgetpositionen das Kästchen „ILV“ aktivieren, werden im Beiblatt „ILV“ automatisch die Bruttopauschalen und die Lohnnebenkosten übernommen. Gleiches gilt für Sachleistungen.</t>
  </si>
  <si>
    <r>
      <t xml:space="preserve">Die Bewertungsregel bei Eigenleistungen lautet im Grundsatz: </t>
    </r>
    <r>
      <rPr>
        <b/>
        <sz val="11"/>
        <rFont val="Verdana"/>
        <family val="2"/>
      </rPr>
      <t>Marktüblicher Preis (Fremdvergleich) abzüglich 20%</t>
    </r>
  </si>
  <si>
    <t xml:space="preserve">Bei den Personalleistungen bedeutet das (in Abhängigkeit von der Qualifikation) KV-Gage x 1,3 x 0,8. Bei den Sachleistungen orientiert man sich an branchenüblichen Marktpreisen (unter Berücksichtigung von Staffelrabatten u.ä.) und setzt diesen Preis um 20% reduziert an. Die Eigenleistungen müssen zuordenbar (Personen) und genau spezifiziert sein (Geräte, Zubehör etc.). </t>
  </si>
  <si>
    <t>Gender Incentive (GI) &amp; Gender Gap Financing</t>
  </si>
  <si>
    <t>Beide Förderansätze beruhen auf der GI-Stabliste. Wird die notwendige Punkteanzahl erreicht, dann gibt es im Falle von Gender Incentive € 30.000 für künftige weiblich dominierte Stoff- und Projektentwicklungen, im Falle von Gender Gap Financing steht unmittelbar ein Pauschalbetrag von € 25.000 für Finanzierung des auslösenden Projekts zur Verfügung. Im Finanzierungsplan ist für Letzteres die entsprechende Checkbox anzuklicken.</t>
  </si>
  <si>
    <t>Wertschöpfungsbonus und Mitteltransfers</t>
  </si>
  <si>
    <r>
      <t xml:space="preserve">Bei internationalen Koproduktionen sieht ÖFI+ einen Wertschöpfungsbonus vor, wenn Mittelzuflüsse aus dem Ausland zu einer zusätzlichen Wertschöpfung in Österreich führen, vorausgesetzt die Höhe </t>
    </r>
    <r>
      <rPr>
        <u/>
        <sz val="11"/>
        <rFont val="Verdana"/>
        <family val="2"/>
      </rPr>
      <t>der am Standort wirksam werdenden Zuflüsse</t>
    </r>
    <r>
      <rPr>
        <sz val="11"/>
        <rFont val="Verdana"/>
        <family val="2"/>
      </rPr>
      <t xml:space="preserve"> beträgt zumindest € 100.000.</t>
    </r>
  </si>
  <si>
    <r>
      <t>Beispiel</t>
    </r>
    <r>
      <rPr>
        <sz val="11"/>
        <rFont val="Verdana"/>
        <family val="2"/>
      </rPr>
      <t>: Ein Teil der Produktionsleistungen (z.B. VFX, zusätzliche Dreharbeiten o.ä.) im Wert von € 500.000 kann entweder in Österreich oder in einem der Koproduktionsländer umgesetzt werden. Wird dieses Leistungspaket nach Österreich verschoben, kann über ÖFI+ bis zu 60% dieser Wertschöpfung (wenn Green Bonus erfüllt) finanziert werden. Der od. die ausländischen Partner müssten in Summe für einen Mitteltransfer von € 200.000 aufkommen. D.h. der Mitteltransfer würde das 2,5-fache an Wertschöpfung in Österreich auslösen. Bei € 100.000 Mitteltransfer für Ausgaben in Österreich wäre die zusätzlich ausgelöste Wertschöpfung bis zu € 250.000.</t>
    </r>
  </si>
  <si>
    <t>Allgemeine Anmerkungen zur Funktionalität der Kalkulationsvorlage</t>
  </si>
  <si>
    <r>
      <t>Zu jeder</t>
    </r>
    <r>
      <rPr>
        <sz val="11"/>
        <rFont val="Verdana"/>
        <family val="2"/>
      </rPr>
      <t xml:space="preserve"> der im Kollektivvertrag tarifmäßig geregelten </t>
    </r>
    <r>
      <rPr>
        <b/>
        <sz val="11"/>
        <rFont val="Verdana"/>
        <family val="2"/>
      </rPr>
      <t>Stabsfunktion</t>
    </r>
    <r>
      <rPr>
        <sz val="11"/>
        <rFont val="Verdana"/>
        <family val="2"/>
      </rPr>
      <t xml:space="preserve"> gibt es </t>
    </r>
    <r>
      <rPr>
        <b/>
        <sz val="11"/>
        <rFont val="Verdana"/>
        <family val="2"/>
      </rPr>
      <t>zwei Eingabemöglichkeiten</t>
    </r>
    <r>
      <rPr>
        <sz val="11"/>
        <rFont val="Verdana"/>
        <family val="2"/>
      </rPr>
      <t xml:space="preserve">: die obere Zeile ist für Beschäftigungsverhältnisse auf Basis einer </t>
    </r>
    <r>
      <rPr>
        <b/>
        <sz val="11"/>
        <rFont val="Verdana"/>
        <family val="2"/>
      </rPr>
      <t>40h-Woche</t>
    </r>
    <r>
      <rPr>
        <sz val="11"/>
        <rFont val="Verdana"/>
        <family val="2"/>
      </rPr>
      <t xml:space="preserve"> vorgesehen (Vor-/Nachbereitung), die untere Zeile deckt die Wochenpauschalgage gem. §7 (</t>
    </r>
    <r>
      <rPr>
        <b/>
        <sz val="11"/>
        <rFont val="Verdana"/>
        <family val="2"/>
      </rPr>
      <t>60h-Woche</t>
    </r>
    <r>
      <rPr>
        <sz val="11"/>
        <rFont val="Verdana"/>
        <family val="2"/>
      </rPr>
      <t>) ab, die im Allgemeinen für die Drehphase herangezogen wird.</t>
    </r>
  </si>
  <si>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t>
    </r>
  </si>
  <si>
    <r>
      <t xml:space="preserve">Hinsichtlich </t>
    </r>
    <r>
      <rPr>
        <b/>
        <sz val="11"/>
        <rFont val="Verdana"/>
        <family val="2"/>
      </rPr>
      <t>Gender-Budgeting</t>
    </r>
    <r>
      <rPr>
        <sz val="11"/>
        <rFont val="Verdana"/>
        <family val="2"/>
      </rPr>
      <t xml:space="preserve"> wurden die Checkboxen entfernt. In die jeweiligen Eingabefelder (M/W) ist eine „1“ einzugeben. Sollten Funktionen durch unterschiedliche Geschlechter besetzt sein (z.B. Drehbuch), dann kann das entsprechende Verhältnis (z.B. „0,5“ zu „0,5“) eingegeben werden. Bei fehlerhafter Eingabe erscheint rechts ein</t>
    </r>
    <r>
      <rPr>
        <b/>
        <sz val="11"/>
        <rFont val="Verdana"/>
        <family val="2"/>
      </rPr>
      <t xml:space="preserve"> „?“.</t>
    </r>
  </si>
  <si>
    <r>
      <t>Kostenstandinformationen</t>
    </r>
    <r>
      <rPr>
        <sz val="11"/>
        <rFont val="Verdana"/>
        <family val="2"/>
      </rPr>
      <t xml:space="preserve"> können weiterhin direkt im Blatt "Kalkulation Herstellungskosten" eingegeben werden. Eine entsprechende Vorlage kann mit dem Gliederungssymbol "+" über der AC-Spalte eingeblendet werden. Einen Überblick der Kostenstandinformationen können Sie im Register "Zusammenfassung" ebenfalls mit dem Gliederungssymbol "+" (über der U-Spalte) einblenden. Dort befindet sich auch eine Vorlage für den Cashflow-Stand (geflossene Mittel zum Zeitpunkt des Kostenstands).</t>
    </r>
  </si>
  <si>
    <t>Wien, im Jänner 2023</t>
  </si>
  <si>
    <t xml:space="preserve">Der Green Bonus berechnet sich automatisch, wenn Sie im Finanzierungsplan die entsprechende Checkbox anklicken. Den Kriterien-katalog zum Green Bonus sowie den verpflichtenden Green Filming Check_ÖFI_ÖFI+  finden Sie unter:  </t>
  </si>
  <si>
    <t>greenfilming@filminstitut.at.</t>
  </si>
  <si>
    <t>Green Filming - Österreichisches Filminstitut</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</si>
  <si>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BSc </t>
    </r>
    <r>
      <rPr>
        <sz val="11"/>
        <rFont val="Verdana"/>
        <family val="2"/>
      </rPr>
      <t>unter:</t>
    </r>
  </si>
  <si>
    <r>
      <t xml:space="preserve">Kommentare oder Rückfragen bitte an </t>
    </r>
    <r>
      <rPr>
        <b/>
        <i/>
        <sz val="11"/>
        <rFont val="Verdana"/>
        <family val="2"/>
      </rPr>
      <t>Mag. Werner Zappe</t>
    </r>
    <r>
      <rPr>
        <sz val="11"/>
        <rFont val="Verdana"/>
        <family val="2"/>
      </rPr>
      <t xml:space="preserve">, +43 (1) 526 97 30 - 300 bzw. </t>
    </r>
  </si>
  <si>
    <t>werner.zappe@filminstitut.at</t>
  </si>
  <si>
    <t xml:space="preserve">Symbole neben den kalkulierten Gagen geben Hinweis, ob die Gagen die 20%-Schwelle oder die 30%-Schwelle überschritten haben. </t>
  </si>
  <si>
    <t>Die maximal anzuerkennende Gagenobergrenze liegt im Rahmen der Bemessung von ÖFI+ jedenfalls bei max. 30%.</t>
  </si>
  <si>
    <t>FINANZIERUNG</t>
  </si>
  <si>
    <t>Abweichung</t>
  </si>
  <si>
    <t>A b s c h l u s s</t>
  </si>
  <si>
    <t>PLAN</t>
  </si>
  <si>
    <t>IST</t>
  </si>
  <si>
    <t>TOTAL    (EK-Stand)</t>
  </si>
  <si>
    <r>
      <t xml:space="preserve">Die Kalkulation wurde hinsichtlich Programmiercode entschlackt, was zur Folge hat, dass z.B. Zeilen und Spalten für Koproduktionspartner über Gliederungssymbol „+“ selbst ein- bzw. ausgeblendet werden müssen. Es wurde auch soweit auf Active-X-Steuerelemente verzichtet, dass die Kalkulation auch auf </t>
    </r>
    <r>
      <rPr>
        <b/>
        <sz val="11"/>
        <rFont val="Verdana"/>
        <family val="2"/>
      </rPr>
      <t>Apple-Rechnern</t>
    </r>
    <r>
      <rPr>
        <sz val="11"/>
        <rFont val="Verdana"/>
        <family val="2"/>
      </rPr>
      <t xml:space="preserve"> funktionieren sollte.</t>
    </r>
  </si>
  <si>
    <t>Eingaben bitte nur in den dafür vorgesehenen grauen oder weißen Feldern der Eingabemasken!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</si>
</sst>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s>
  <fonts count="136"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28"/>
      <color indexed="44"/>
      <name val="Wingdings"/>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i/>
      <sz val="10"/>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sz val="10"/>
      <color rgb="FFFF0000"/>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2"/>
      <color theme="0"/>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sz val="10"/>
      <name val="Arial Narrow"/>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sz val="11"/>
      <name val="Symbol"/>
      <family val="1"/>
      <charset val="2"/>
    </font>
    <font>
      <sz val="7"/>
      <name val="Times New Roman"/>
      <family val="1"/>
    </font>
    <font>
      <b/>
      <i/>
      <sz val="11"/>
      <name val="Verdana"/>
      <family val="2"/>
    </font>
    <font>
      <u/>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s>
  <fills count="18">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s>
  <borders count="167">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medium">
        <color indexed="9"/>
      </right>
      <top style="medium">
        <color theme="0"/>
      </top>
      <bottom style="medium">
        <color indexed="9"/>
      </bottom>
      <diagonal/>
    </border>
    <border>
      <left/>
      <right/>
      <top style="thin">
        <color theme="0"/>
      </top>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9" fillId="0" borderId="0" applyFont="0" applyFill="0" applyBorder="0" applyAlignment="0" applyProtection="0"/>
    <xf numFmtId="0" fontId="59" fillId="0" borderId="0" applyNumberFormat="0" applyFill="0" applyBorder="0" applyProtection="0">
      <alignment vertical="top" wrapText="1"/>
    </xf>
    <xf numFmtId="9" fontId="59" fillId="0" borderId="0" applyFont="0" applyFill="0" applyBorder="0" applyAlignment="0" applyProtection="0"/>
    <xf numFmtId="0" fontId="62" fillId="0" borderId="0"/>
    <xf numFmtId="0" fontId="3" fillId="0" borderId="0"/>
    <xf numFmtId="0" fontId="132" fillId="0" borderId="0" applyNumberFormat="0" applyFill="0" applyBorder="0" applyAlignment="0" applyProtection="0"/>
  </cellStyleXfs>
  <cellXfs count="1227">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166" fontId="22" fillId="3" borderId="2" xfId="0" applyNumberFormat="1" applyFont="1" applyFill="1" applyBorder="1" applyAlignment="1" applyProtection="1">
      <alignment horizontal="center"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0" fontId="23" fillId="3" borderId="3" xfId="0" applyFont="1" applyFill="1" applyBorder="1" applyAlignment="1" applyProtection="1">
      <alignment horizontal="center" vertical="center"/>
      <protection locked="0"/>
    </xf>
    <xf numFmtId="4" fontId="23" fillId="3" borderId="3" xfId="0" applyNumberFormat="1" applyFont="1" applyFill="1" applyBorder="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7" xfId="0" applyNumberFormat="1" applyFont="1" applyFill="1" applyBorder="1"/>
    <xf numFmtId="4" fontId="23" fillId="3" borderId="3" xfId="0" applyNumberFormat="1" applyFont="1" applyFill="1" applyBorder="1" applyAlignment="1">
      <alignment vertical="center"/>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40" fillId="0" borderId="0" xfId="0" applyNumberFormat="1" applyFont="1"/>
    <xf numFmtId="0" fontId="40" fillId="0" borderId="0" xfId="0" applyFont="1"/>
    <xf numFmtId="0" fontId="38" fillId="0" borderId="0" xfId="0" applyFont="1"/>
    <xf numFmtId="4" fontId="40" fillId="0" borderId="0" xfId="0" applyNumberFormat="1" applyFont="1"/>
    <xf numFmtId="168" fontId="22" fillId="3" borderId="3" xfId="0" applyNumberFormat="1" applyFont="1" applyFill="1" applyBorder="1" applyAlignment="1" applyProtection="1">
      <alignment vertical="center"/>
      <protection locked="0"/>
    </xf>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0" fontId="23" fillId="4" borderId="7" xfId="0" applyFont="1" applyFill="1" applyBorder="1"/>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1" fontId="23" fillId="4" borderId="7" xfId="0" applyNumberFormat="1" applyFont="1" applyFill="1" applyBorder="1" applyAlignment="1">
      <alignment horizontal="center"/>
    </xf>
    <xf numFmtId="1" fontId="23" fillId="4" borderId="7" xfId="0" applyNumberFormat="1" applyFont="1" applyFill="1" applyBorder="1"/>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0" fontId="22" fillId="3" borderId="3" xfId="0" applyFont="1" applyFill="1" applyBorder="1" applyAlignment="1" applyProtection="1">
      <alignment horizontal="center" vertical="center"/>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173" fontId="23" fillId="4" borderId="7" xfId="0" applyNumberFormat="1" applyFont="1" applyFill="1" applyBorder="1" applyProtection="1">
      <protection locked="0"/>
    </xf>
    <xf numFmtId="4" fontId="23" fillId="4" borderId="7" xfId="1" applyFont="1" applyFill="1" applyBorder="1"/>
    <xf numFmtId="0" fontId="22" fillId="3" borderId="41" xfId="0" applyFont="1" applyFill="1" applyBorder="1" applyAlignment="1" applyProtection="1">
      <alignment vertical="center"/>
      <protection locked="0"/>
    </xf>
    <xf numFmtId="173" fontId="23" fillId="4" borderId="9" xfId="0" applyNumberFormat="1" applyFont="1" applyFill="1" applyBorder="1" applyProtection="1">
      <protection locked="0"/>
    </xf>
    <xf numFmtId="4" fontId="23" fillId="4" borderId="9" xfId="1" applyFont="1" applyFill="1" applyBorder="1"/>
    <xf numFmtId="4" fontId="23" fillId="4" borderId="7" xfId="0" applyNumberFormat="1" applyFont="1" applyFill="1" applyBorder="1" applyAlignment="1" applyProtection="1">
      <alignment vertical="center"/>
      <protection locked="0"/>
    </xf>
    <xf numFmtId="4" fontId="23" fillId="3" borderId="56" xfId="0" applyNumberFormat="1" applyFont="1" applyFill="1" applyBorder="1" applyAlignment="1" applyProtection="1">
      <alignment vertical="center"/>
      <protection locked="0"/>
    </xf>
    <xf numFmtId="174" fontId="23" fillId="4" borderId="7" xfId="0" applyNumberFormat="1" applyFont="1" applyFill="1" applyBorder="1" applyAlignment="1" applyProtection="1">
      <alignment vertical="distributed"/>
      <protection locked="0"/>
    </xf>
    <xf numFmtId="3" fontId="9" fillId="0" borderId="0" xfId="3" applyNumberFormat="1" applyFont="1" applyAlignment="1" applyProtection="1">
      <alignment vertical="center"/>
      <protection locked="0"/>
    </xf>
    <xf numFmtId="3" fontId="23" fillId="4" borderId="7" xfId="0" applyNumberFormat="1" applyFont="1" applyFill="1" applyBorder="1"/>
    <xf numFmtId="3" fontId="23" fillId="4" borderId="7" xfId="0" applyNumberFormat="1" applyFont="1" applyFill="1" applyBorder="1" applyAlignment="1">
      <alignment horizontal="center"/>
    </xf>
    <xf numFmtId="3" fontId="22" fillId="3" borderId="3" xfId="0" applyNumberFormat="1" applyFont="1" applyFill="1" applyBorder="1" applyAlignment="1" applyProtection="1">
      <alignment horizontal="righ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4" fontId="23" fillId="4" borderId="65" xfId="0" applyNumberFormat="1" applyFont="1" applyFill="1" applyBorder="1" applyAlignment="1" applyProtection="1">
      <alignment vertical="center"/>
      <protection locked="0"/>
    </xf>
    <xf numFmtId="4" fontId="23" fillId="3" borderId="65"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1" fillId="0" borderId="0" xfId="5" applyNumberFormat="1" applyFont="1" applyProtection="1">
      <protection locked="0"/>
    </xf>
    <xf numFmtId="166" fontId="50"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1" fillId="0" borderId="0" xfId="3" applyNumberFormat="1" applyFont="1" applyAlignment="1" applyProtection="1">
      <alignment vertical="center"/>
      <protection locked="0"/>
    </xf>
    <xf numFmtId="0" fontId="23" fillId="3" borderId="3" xfId="0" applyFont="1" applyFill="1" applyBorder="1" applyAlignment="1" applyProtection="1">
      <alignment horizontal="left" vertical="center"/>
      <protection locked="0"/>
    </xf>
    <xf numFmtId="168" fontId="22" fillId="3" borderId="3" xfId="0" applyNumberFormat="1" applyFont="1" applyFill="1" applyBorder="1" applyAlignment="1" applyProtection="1">
      <alignment horizontal="lef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174" fontId="23" fillId="3" borderId="94" xfId="0" applyNumberFormat="1" applyFont="1" applyFill="1" applyBorder="1" applyAlignment="1">
      <alignment vertical="center"/>
    </xf>
    <xf numFmtId="0" fontId="63" fillId="6" borderId="0" xfId="11" applyFont="1" applyFill="1" applyAlignment="1" applyProtection="1">
      <alignment horizontal="left" vertical="center"/>
      <protection locked="0"/>
    </xf>
    <xf numFmtId="0" fontId="63"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9"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4" fontId="23" fillId="4" borderId="10" xfId="0" applyNumberFormat="1" applyFont="1" applyFill="1" applyBorder="1" applyAlignment="1" applyProtection="1">
      <alignment vertical="distributed"/>
      <protection locked="0"/>
    </xf>
    <xf numFmtId="0" fontId="23" fillId="4" borderId="5" xfId="0" applyFont="1" applyFill="1" applyBorder="1" applyAlignment="1" applyProtection="1">
      <alignment vertical="distributed" wrapText="1"/>
      <protection locked="0"/>
    </xf>
    <xf numFmtId="4" fontId="23" fillId="4" borderId="7" xfId="0" applyNumberFormat="1" applyFont="1" applyFill="1" applyBorder="1" applyAlignment="1" applyProtection="1">
      <alignment vertical="distributed"/>
      <protection locked="0"/>
    </xf>
    <xf numFmtId="0" fontId="23" fillId="4" borderId="4" xfId="0" applyFont="1" applyFill="1" applyBorder="1" applyAlignment="1" applyProtection="1">
      <alignment vertical="distributed" wrapText="1"/>
      <protection locked="0"/>
    </xf>
    <xf numFmtId="4" fontId="26" fillId="3" borderId="3" xfId="0" applyNumberFormat="1" applyFont="1" applyFill="1" applyBorder="1" applyAlignment="1" applyProtection="1">
      <alignment horizontal="right" vertical="center"/>
      <protection locked="0"/>
    </xf>
    <xf numFmtId="4" fontId="26" fillId="3" borderId="3" xfId="0" applyNumberFormat="1" applyFont="1" applyFill="1" applyBorder="1" applyAlignment="1" applyProtection="1">
      <alignment vertical="center"/>
      <protection locked="0"/>
    </xf>
    <xf numFmtId="4" fontId="26" fillId="0" borderId="0" xfId="0" applyNumberFormat="1" applyFont="1" applyAlignment="1" applyProtection="1">
      <alignment horizontal="right" vertical="center"/>
      <protection locked="0"/>
    </xf>
    <xf numFmtId="4" fontId="34" fillId="7" borderId="4" xfId="0" applyNumberFormat="1" applyFont="1" applyFill="1" applyBorder="1" applyAlignment="1">
      <alignment horizontal="right" vertical="distributed"/>
    </xf>
    <xf numFmtId="3" fontId="23" fillId="3" borderId="3" xfId="0" applyNumberFormat="1" applyFont="1" applyFill="1" applyBorder="1" applyAlignment="1" applyProtection="1">
      <alignment horizontal="right" vertical="center"/>
      <protection locked="0"/>
    </xf>
    <xf numFmtId="3" fontId="23" fillId="3" borderId="3" xfId="0" applyNumberFormat="1" applyFont="1" applyFill="1" applyBorder="1" applyAlignment="1" applyProtection="1">
      <alignment vertical="center"/>
      <protection locked="0"/>
    </xf>
    <xf numFmtId="4" fontId="23" fillId="3" borderId="33" xfId="0" applyNumberFormat="1" applyFont="1" applyFill="1" applyBorder="1" applyAlignment="1" applyProtection="1">
      <alignment horizontal="right" vertical="center"/>
      <protection locked="0"/>
    </xf>
    <xf numFmtId="4" fontId="23" fillId="3" borderId="34" xfId="0" applyNumberFormat="1" applyFont="1" applyFill="1" applyBorder="1" applyAlignment="1" applyProtection="1">
      <alignment vertical="center"/>
      <protection locked="0"/>
    </xf>
    <xf numFmtId="4" fontId="23" fillId="3" borderId="34" xfId="0" applyNumberFormat="1" applyFont="1" applyFill="1" applyBorder="1" applyAlignment="1">
      <alignment vertical="center"/>
    </xf>
    <xf numFmtId="4" fontId="23" fillId="3" borderId="33" xfId="0" applyNumberFormat="1" applyFont="1" applyFill="1" applyBorder="1" applyAlignment="1" applyProtection="1">
      <alignmen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174" fontId="23" fillId="3" borderId="3" xfId="0" applyNumberFormat="1" applyFont="1" applyFill="1" applyBorder="1" applyAlignment="1">
      <alignment vertical="distributed"/>
    </xf>
    <xf numFmtId="3" fontId="23" fillId="4" borderId="4" xfId="0" applyNumberFormat="1" applyFont="1" applyFill="1" applyBorder="1" applyAlignment="1" applyProtection="1">
      <alignment vertical="center"/>
      <protection locked="0"/>
    </xf>
    <xf numFmtId="0" fontId="0" fillId="6" borderId="0" xfId="0" applyFill="1"/>
    <xf numFmtId="0" fontId="22" fillId="8" borderId="23" xfId="0" applyFont="1" applyFill="1" applyBorder="1" applyAlignment="1">
      <alignment horizontal="center" vertical="center"/>
    </xf>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3" fillId="4" borderId="4" xfId="0" applyNumberFormat="1" applyFont="1" applyFill="1" applyBorder="1" applyAlignment="1">
      <alignment vertical="center"/>
    </xf>
    <xf numFmtId="3" fontId="26" fillId="4" borderId="4" xfId="0" applyNumberFormat="1" applyFont="1" applyFill="1" applyBorder="1" applyAlignment="1" applyProtection="1">
      <alignment vertical="center"/>
      <protection locked="0"/>
    </xf>
    <xf numFmtId="3" fontId="23" fillId="9" borderId="0" xfId="0" applyNumberFormat="1" applyFont="1" applyFill="1" applyAlignment="1">
      <alignment vertical="center"/>
    </xf>
    <xf numFmtId="3" fontId="23" fillId="4" borderId="4" xfId="1" applyNumberFormat="1" applyFont="1" applyFill="1" applyBorder="1" applyAlignment="1" applyProtection="1">
      <alignment vertical="center"/>
    </xf>
    <xf numFmtId="3" fontId="0" fillId="0" borderId="0" xfId="0" applyNumberFormat="1"/>
    <xf numFmtId="3" fontId="0" fillId="0" borderId="0" xfId="1" applyNumberFormat="1" applyFont="1"/>
    <xf numFmtId="0" fontId="78" fillId="9" borderId="0" xfId="0" applyFont="1" applyFill="1" applyAlignment="1" applyProtection="1">
      <alignment horizontal="left" indent="1"/>
      <protection locked="0"/>
    </xf>
    <xf numFmtId="0" fontId="24" fillId="9" borderId="0" xfId="0" applyFont="1" applyFill="1" applyProtection="1">
      <protection locked="0"/>
    </xf>
    <xf numFmtId="166" fontId="78" fillId="9" borderId="0" xfId="0" applyNumberFormat="1" applyFont="1" applyFill="1" applyAlignment="1" applyProtection="1">
      <alignment horizontal="left" indent="1"/>
      <protection hidden="1"/>
    </xf>
    <xf numFmtId="166" fontId="5" fillId="9" borderId="0" xfId="0" applyNumberFormat="1" applyFont="1" applyFill="1" applyAlignment="1" applyProtection="1">
      <alignment horizontal="center" vertical="center"/>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8"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1" fontId="38" fillId="9" borderId="18" xfId="0" applyNumberFormat="1" applyFont="1" applyFill="1" applyBorder="1" applyAlignment="1" applyProtection="1">
      <alignment horizontal="right"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28" xfId="3" applyNumberFormat="1" applyFont="1" applyFill="1" applyBorder="1" applyProtection="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3" xfId="3" applyNumberFormat="1" applyFont="1" applyFill="1" applyBorder="1" applyAlignment="1" applyProtection="1">
      <alignment vertical="center"/>
      <protection locked="0"/>
    </xf>
    <xf numFmtId="10" fontId="23" fillId="9" borderId="0" xfId="0" applyNumberFormat="1" applyFont="1" applyFill="1" applyAlignment="1" applyProtection="1">
      <alignment horizontal="righ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3" fontId="23" fillId="9" borderId="96" xfId="0" applyNumberFormat="1" applyFont="1" applyFill="1" applyBorder="1" applyAlignment="1">
      <alignment vertical="center"/>
    </xf>
    <xf numFmtId="3" fontId="23" fillId="9" borderId="86" xfId="0" applyNumberFormat="1" applyFont="1" applyFill="1" applyBorder="1" applyAlignment="1">
      <alignment vertical="center"/>
    </xf>
    <xf numFmtId="0" fontId="41" fillId="0" borderId="0" xfId="0" applyFont="1" applyAlignment="1" applyProtection="1">
      <alignment vertical="center"/>
      <protection locked="0"/>
    </xf>
    <xf numFmtId="0" fontId="14" fillId="0" borderId="0" xfId="0" applyFont="1" applyAlignment="1">
      <alignment horizontal="left" indent="1"/>
    </xf>
    <xf numFmtId="0" fontId="47"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8"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101" fillId="10" borderId="0" xfId="0" applyNumberFormat="1" applyFont="1" applyFill="1" applyAlignment="1">
      <alignment horizontal="right" vertical="top"/>
    </xf>
    <xf numFmtId="0" fontId="104" fillId="10" borderId="0" xfId="0" applyFont="1" applyFill="1" applyAlignment="1">
      <alignment horizontal="right"/>
    </xf>
    <xf numFmtId="0" fontId="100" fillId="10" borderId="0" xfId="0" quotePrefix="1" applyFont="1" applyFill="1" applyAlignment="1">
      <alignment horizontal="left" indent="1"/>
    </xf>
    <xf numFmtId="166" fontId="24" fillId="10" borderId="0" xfId="0" applyNumberFormat="1" applyFont="1" applyFill="1" applyAlignment="1" applyProtection="1">
      <alignment horizontal="left" vertical="center" indent="1"/>
      <protection locked="0"/>
    </xf>
    <xf numFmtId="49" fontId="35" fillId="10" borderId="0" xfId="0" applyNumberFormat="1" applyFont="1" applyFill="1" applyAlignment="1" applyProtection="1">
      <alignment horizontal="right" vertical="top"/>
      <protection locked="0"/>
    </xf>
    <xf numFmtId="168" fontId="7" fillId="10" borderId="0" xfId="0" applyNumberFormat="1" applyFont="1" applyFill="1" applyAlignment="1" applyProtection="1">
      <alignment horizontal="right" vertical="center"/>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168" fontId="23" fillId="10" borderId="0" xfId="0" applyNumberFormat="1" applyFont="1" applyFill="1" applyAlignment="1" applyProtection="1">
      <alignment horizontal="right" vertical="center" indent="1"/>
      <protection locked="0"/>
    </xf>
    <xf numFmtId="168" fontId="9" fillId="10" borderId="0" xfId="0" applyNumberFormat="1" applyFont="1" applyFill="1" applyAlignment="1" applyProtection="1">
      <alignment horizontal="left" vertical="center"/>
      <protection locked="0"/>
    </xf>
    <xf numFmtId="0" fontId="23" fillId="10" borderId="0" xfId="0" applyFont="1" applyFill="1" applyAlignment="1" applyProtection="1">
      <alignment horizontal="right" vertical="center" indent="1"/>
      <protection locked="0"/>
    </xf>
    <xf numFmtId="168" fontId="22" fillId="10" borderId="0" xfId="0" applyNumberFormat="1" applyFont="1" applyFill="1" applyAlignment="1">
      <alignment horizontal="right" vertical="center" indent="1"/>
    </xf>
    <xf numFmtId="0" fontId="9" fillId="10" borderId="0" xfId="0" applyFont="1" applyFill="1" applyProtection="1">
      <protection locked="0"/>
    </xf>
    <xf numFmtId="0" fontId="22" fillId="10" borderId="0" xfId="0" applyFont="1" applyFill="1" applyAlignment="1" applyProtection="1">
      <alignment horizontal="right"/>
      <protection locked="0"/>
    </xf>
    <xf numFmtId="0" fontId="6" fillId="10" borderId="0" xfId="0" applyFont="1" applyFill="1" applyProtection="1">
      <protection locked="0"/>
    </xf>
    <xf numFmtId="168" fontId="23" fillId="10" borderId="113"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4" xfId="0" applyNumberFormat="1" applyFont="1" applyFill="1" applyBorder="1" applyAlignment="1" applyProtection="1">
      <alignment horizontal="right" vertical="top"/>
      <protection locked="0"/>
    </xf>
    <xf numFmtId="168" fontId="23" fillId="10" borderId="147" xfId="0" applyNumberFormat="1" applyFont="1" applyFill="1" applyBorder="1" applyAlignment="1" applyProtection="1">
      <alignment vertical="center"/>
      <protection hidden="1"/>
    </xf>
    <xf numFmtId="49" fontId="35" fillId="10" borderId="148"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7" fillId="10" borderId="0" xfId="0" applyFont="1" applyFill="1" applyAlignment="1">
      <alignment horizontal="right"/>
    </xf>
    <xf numFmtId="0" fontId="22" fillId="10" borderId="0" xfId="0" applyFont="1" applyFill="1" applyAlignment="1" applyProtection="1">
      <alignment horizontal="left" indent="2"/>
      <protection locked="0"/>
    </xf>
    <xf numFmtId="0" fontId="22" fillId="10" borderId="11" xfId="0" applyFont="1" applyFill="1" applyBorder="1" applyAlignment="1" applyProtection="1">
      <alignment horizontal="center" vertical="center"/>
      <protection hidden="1"/>
    </xf>
    <xf numFmtId="1" fontId="22" fillId="10" borderId="11" xfId="0" applyNumberFormat="1" applyFont="1" applyFill="1" applyBorder="1" applyAlignment="1" applyProtection="1">
      <alignment horizontal="center" vertical="center" wrapText="1"/>
      <protection locked="0"/>
    </xf>
    <xf numFmtId="166" fontId="6" fillId="10" borderId="0" xfId="0" applyNumberFormat="1" applyFont="1" applyFill="1" applyAlignment="1" applyProtection="1">
      <alignment horizontal="center" vertical="center"/>
      <protection locked="0"/>
    </xf>
    <xf numFmtId="164" fontId="105" fillId="10" borderId="0" xfId="0" applyNumberFormat="1" applyFont="1" applyFill="1" applyAlignment="1">
      <alignment horizontal="center" vertical="center"/>
    </xf>
    <xf numFmtId="166" fontId="102" fillId="10" borderId="0" xfId="0" applyNumberFormat="1" applyFont="1" applyFill="1" applyAlignment="1">
      <alignment vertical="center"/>
    </xf>
    <xf numFmtId="0" fontId="103" fillId="10" borderId="0" xfId="0" applyFont="1" applyFill="1" applyAlignment="1">
      <alignment horizontal="left" indent="1"/>
    </xf>
    <xf numFmtId="0" fontId="106" fillId="10" borderId="0" xfId="0" applyFont="1" applyFill="1" applyAlignment="1">
      <alignment horizontal="left" indent="1"/>
    </xf>
    <xf numFmtId="0" fontId="106" fillId="10" borderId="0" xfId="0" applyFont="1" applyFill="1" applyAlignment="1">
      <alignment horizontal="right" indent="1"/>
    </xf>
    <xf numFmtId="166" fontId="9" fillId="10" borderId="0" xfId="0" applyNumberFormat="1" applyFont="1" applyFill="1" applyAlignment="1" applyProtection="1">
      <alignment horizontal="center" vertical="center"/>
      <protection locked="0"/>
    </xf>
    <xf numFmtId="164" fontId="104" fillId="10" borderId="0" xfId="0" applyNumberFormat="1" applyFont="1" applyFill="1" applyAlignment="1">
      <alignment horizontal="center" vertical="center"/>
    </xf>
    <xf numFmtId="0" fontId="100" fillId="10" borderId="0" xfId="0" applyFont="1" applyFill="1" applyAlignment="1">
      <alignment horizontal="left" indent="1"/>
    </xf>
    <xf numFmtId="0" fontId="104" fillId="10" borderId="0" xfId="0" applyFont="1" applyFill="1"/>
    <xf numFmtId="0" fontId="100"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6" fillId="10" borderId="0" xfId="0" applyFont="1" applyFill="1" applyAlignment="1">
      <alignment horizontal="left" indent="1"/>
    </xf>
    <xf numFmtId="0" fontId="97" fillId="10" borderId="0" xfId="0" applyFont="1" applyFill="1" applyAlignment="1" applyProtection="1">
      <alignment vertical="center"/>
      <protection locked="0"/>
    </xf>
    <xf numFmtId="0" fontId="98"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6"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5" fillId="10" borderId="0" xfId="0" applyFont="1" applyFill="1" applyAlignment="1" applyProtection="1">
      <alignment vertical="center"/>
      <protection locked="0"/>
    </xf>
    <xf numFmtId="0" fontId="96" fillId="10" borderId="0" xfId="0" applyFont="1" applyFill="1" applyProtection="1">
      <protection locked="0"/>
    </xf>
    <xf numFmtId="0" fontId="99" fillId="10" borderId="0" xfId="0" applyFont="1" applyFill="1" applyAlignment="1">
      <alignment horizontal="left" indent="1"/>
    </xf>
    <xf numFmtId="0" fontId="78" fillId="10" borderId="0" xfId="0" applyFont="1" applyFill="1" applyAlignment="1" applyProtection="1">
      <alignment horizontal="left" vertical="center"/>
      <protection locked="0"/>
    </xf>
    <xf numFmtId="0" fontId="19" fillId="10" borderId="0" xfId="0" applyFont="1" applyFill="1" applyProtection="1">
      <protection locked="0"/>
    </xf>
    <xf numFmtId="0" fontId="22" fillId="10" borderId="0" xfId="0" applyFont="1" applyFill="1" applyAlignment="1" applyProtection="1">
      <alignment vertical="center"/>
      <protection locked="0"/>
    </xf>
    <xf numFmtId="166" fontId="22"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8" fontId="9" fillId="10" borderId="0" xfId="0" applyNumberFormat="1" applyFont="1" applyFill="1" applyAlignment="1" applyProtection="1">
      <alignment vertical="center"/>
      <protection locked="0"/>
    </xf>
    <xf numFmtId="166" fontId="13" fillId="10" borderId="0" xfId="0" applyNumberFormat="1" applyFont="1" applyFill="1" applyAlignment="1" applyProtection="1">
      <alignment horizontal="center" vertical="center"/>
      <protection locked="0"/>
    </xf>
    <xf numFmtId="49" fontId="8" fillId="10" borderId="0" xfId="0" applyNumberFormat="1" applyFont="1" applyFill="1" applyAlignment="1">
      <alignment horizontal="center"/>
    </xf>
    <xf numFmtId="49" fontId="72" fillId="10" borderId="97" xfId="0" applyNumberFormat="1" applyFont="1" applyFill="1" applyBorder="1" applyAlignment="1">
      <alignment horizontal="center"/>
    </xf>
    <xf numFmtId="49" fontId="72" fillId="10" borderId="108" xfId="0" applyNumberFormat="1" applyFont="1" applyFill="1" applyBorder="1" applyAlignment="1">
      <alignment horizontal="center"/>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166" fontId="23" fillId="10" borderId="0" xfId="0" applyNumberFormat="1" applyFont="1" applyFill="1" applyAlignment="1" applyProtection="1">
      <alignment horizontal="center" vertical="center"/>
      <protection locked="0"/>
    </xf>
    <xf numFmtId="3" fontId="23" fillId="10" borderId="0" xfId="0" applyNumberFormat="1" applyFont="1" applyFill="1" applyAlignment="1">
      <alignment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168" fontId="23" fillId="10" borderId="0" xfId="0" applyNumberFormat="1" applyFont="1" applyFill="1" applyAlignment="1" applyProtection="1">
      <alignment vertical="center"/>
      <protection locked="0"/>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5" fontId="49" fillId="10" borderId="0" xfId="0" applyNumberFormat="1" applyFont="1" applyFill="1" applyAlignment="1" applyProtection="1">
      <alignment horizontal="right" vertical="center"/>
      <protection locked="0"/>
    </xf>
    <xf numFmtId="1" fontId="25" fillId="10" borderId="0" xfId="0" applyNumberFormat="1" applyFont="1" applyFill="1" applyAlignment="1" applyProtection="1">
      <alignment horizontal="right" vertical="center" wrapText="1" shrinkToFit="1"/>
      <protection locked="0"/>
    </xf>
    <xf numFmtId="0" fontId="41"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2" fontId="23" fillId="10" borderId="0" xfId="0" applyNumberFormat="1" applyFont="1" applyFill="1" applyAlignment="1" applyProtection="1">
      <alignment horizontal="right" vertical="center"/>
      <protection locked="0"/>
    </xf>
    <xf numFmtId="168" fontId="22" fillId="10" borderId="0" xfId="0" applyNumberFormat="1" applyFont="1" applyFill="1" applyAlignment="1" applyProtection="1">
      <alignment vertical="center"/>
      <protection locked="0"/>
    </xf>
    <xf numFmtId="10" fontId="23" fillId="10" borderId="0" xfId="0" applyNumberFormat="1" applyFont="1" applyFill="1" applyAlignment="1">
      <alignment vertical="center"/>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2" fillId="10" borderId="0" xfId="2" applyFont="1" applyFill="1" applyBorder="1" applyAlignment="1" applyProtection="1">
      <alignment horizontal="center" vertical="center"/>
    </xf>
    <xf numFmtId="0" fontId="78"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78" fillId="10" borderId="0" xfId="7" applyNumberFormat="1" applyFont="1" applyFill="1" applyAlignment="1" applyProtection="1">
      <alignment horizontal="left"/>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0" xfId="2" applyNumberFormat="1" applyFont="1" applyFill="1" applyBorder="1" applyAlignment="1" applyProtection="1">
      <alignment horizontal="center" vertical="center"/>
      <protection locked="0"/>
    </xf>
    <xf numFmtId="175" fontId="26" fillId="10" borderId="48" xfId="2" applyNumberFormat="1" applyFont="1" applyFill="1" applyBorder="1" applyAlignment="1" applyProtection="1">
      <alignment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5" xfId="3" applyNumberFormat="1" applyFont="1" applyFill="1" applyBorder="1" applyAlignment="1" applyProtection="1">
      <alignment vertical="center"/>
      <protection locked="0"/>
    </xf>
    <xf numFmtId="3" fontId="22" fillId="10" borderId="126" xfId="3" applyNumberFormat="1" applyFont="1" applyFill="1" applyBorder="1" applyAlignment="1" applyProtection="1">
      <alignment vertical="distributed"/>
      <protection locked="0"/>
    </xf>
    <xf numFmtId="166" fontId="22" fillId="10" borderId="128" xfId="3" applyNumberFormat="1" applyFont="1" applyFill="1" applyBorder="1" applyAlignment="1" applyProtection="1">
      <alignment vertical="center"/>
      <protection locked="0"/>
    </xf>
    <xf numFmtId="166" fontId="22" fillId="10" borderId="129" xfId="3" applyNumberFormat="1" applyFont="1" applyFill="1" applyBorder="1" applyAlignment="1" applyProtection="1">
      <alignment vertical="center"/>
      <protection locked="0"/>
    </xf>
    <xf numFmtId="166" fontId="22" fillId="10" borderId="130"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2" fillId="10" borderId="32" xfId="3" applyNumberFormat="1" applyFont="1" applyFill="1" applyBorder="1" applyAlignment="1">
      <alignment vertical="center"/>
    </xf>
    <xf numFmtId="166" fontId="22" fillId="10" borderId="6" xfId="3" applyNumberFormat="1" applyFont="1" applyFill="1" applyBorder="1" applyAlignment="1" applyProtection="1">
      <alignment vertical="center"/>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8"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3" fontId="23" fillId="10" borderId="29"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43"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28" xfId="3" applyNumberFormat="1" applyFont="1" applyFill="1" applyBorder="1" applyAlignment="1" applyProtection="1">
      <alignment vertical="center"/>
      <protection locked="0"/>
    </xf>
    <xf numFmtId="3" fontId="23" fillId="10" borderId="12"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1" fontId="25" fillId="11" borderId="0" xfId="0" applyNumberFormat="1" applyFont="1" applyFill="1" applyAlignment="1">
      <alignment horizontal="center" vertical="center" wrapText="1" shrinkToFit="1"/>
    </xf>
    <xf numFmtId="3" fontId="23" fillId="11" borderId="0" xfId="0" applyNumberFormat="1" applyFont="1" applyFill="1" applyAlignment="1">
      <alignment vertical="center"/>
    </xf>
    <xf numFmtId="176" fontId="23" fillId="11" borderId="0" xfId="0" applyNumberFormat="1" applyFont="1" applyFill="1" applyAlignment="1">
      <alignment vertical="distributed"/>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4" fontId="25" fillId="10" borderId="0" xfId="0" applyNumberFormat="1" applyFont="1" applyFill="1" applyAlignment="1" applyProtection="1">
      <alignment horizontal="center" vertical="center"/>
      <protection locked="0"/>
    </xf>
    <xf numFmtId="4" fontId="25" fillId="10" borderId="0" xfId="0" applyNumberFormat="1" applyFont="1" applyFill="1" applyAlignment="1" applyProtection="1">
      <alignment horizontal="right" vertical="center" wrapText="1"/>
      <protection locked="0"/>
    </xf>
    <xf numFmtId="0" fontId="25" fillId="10" borderId="0" xfId="0" applyFont="1" applyFill="1" applyAlignment="1">
      <alignment vertical="center"/>
    </xf>
    <xf numFmtId="0" fontId="25" fillId="10" borderId="0" xfId="0" applyFont="1" applyFill="1" applyAlignment="1" applyProtection="1">
      <alignment horizontal="left" vertical="center"/>
      <protection locked="0"/>
    </xf>
    <xf numFmtId="4" fontId="29" fillId="10" borderId="0" xfId="0" applyNumberFormat="1" applyFont="1" applyFill="1" applyAlignment="1" applyProtection="1">
      <alignment horizontal="center" vertical="center"/>
      <protection locked="0"/>
    </xf>
    <xf numFmtId="4" fontId="25" fillId="10" borderId="0" xfId="0" applyNumberFormat="1" applyFont="1" applyFill="1" applyAlignment="1" applyProtection="1">
      <alignment vertical="center"/>
      <protection locked="0"/>
    </xf>
    <xf numFmtId="4" fontId="25" fillId="10" borderId="51" xfId="0" applyNumberFormat="1" applyFont="1" applyFill="1" applyBorder="1" applyAlignment="1" applyProtection="1">
      <alignment horizontal="right" vertical="center"/>
      <protection locked="0"/>
    </xf>
    <xf numFmtId="4" fontId="25" fillId="10" borderId="46" xfId="0" applyNumberFormat="1" applyFont="1" applyFill="1" applyBorder="1" applyAlignment="1" applyProtection="1">
      <alignment vertical="center"/>
      <protection locked="0"/>
    </xf>
    <xf numFmtId="0" fontId="25" fillId="10" borderId="0" xfId="0" applyFont="1" applyFill="1" applyAlignment="1" applyProtection="1">
      <alignment vertical="center"/>
      <protection locked="0"/>
    </xf>
    <xf numFmtId="4" fontId="25" fillId="10" borderId="6" xfId="0" applyNumberFormat="1" applyFont="1" applyFill="1" applyBorder="1" applyAlignment="1" applyProtection="1">
      <alignment vertical="center"/>
      <protection locked="0"/>
    </xf>
    <xf numFmtId="4" fontId="70"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10" fontId="23" fillId="10" borderId="0" xfId="2" applyNumberFormat="1" applyFont="1" applyFill="1" applyBorder="1" applyAlignment="1" applyProtection="1">
      <alignment vertical="distributed"/>
      <protection locked="0"/>
    </xf>
    <xf numFmtId="0" fontId="67" fillId="10" borderId="0" xfId="0" applyFont="1" applyFill="1" applyAlignment="1" applyProtection="1">
      <alignment vertical="distributed"/>
      <protection locked="0"/>
    </xf>
    <xf numFmtId="0" fontId="23" fillId="10" borderId="4" xfId="0" applyFont="1" applyFill="1" applyBorder="1" applyAlignment="1" applyProtection="1">
      <alignment horizontal="left" vertical="center"/>
      <protection locked="0"/>
    </xf>
    <xf numFmtId="168"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distributed"/>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9" fillId="10" borderId="0" xfId="0" applyNumberFormat="1" applyFont="1" applyFill="1" applyAlignment="1">
      <alignment horizontal="righ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2" fillId="10" borderId="4" xfId="0" applyNumberFormat="1" applyFont="1" applyFill="1" applyBorder="1" applyAlignment="1" applyProtection="1">
      <alignment horizontal="center" vertical="center"/>
      <protection locked="0"/>
    </xf>
    <xf numFmtId="4" fontId="40" fillId="10" borderId="6" xfId="0" applyNumberFormat="1" applyFont="1" applyFill="1" applyBorder="1" applyAlignment="1">
      <alignment horizontal="center" vertical="center"/>
    </xf>
    <xf numFmtId="4" fontId="23" fillId="10" borderId="48" xfId="0" applyNumberFormat="1" applyFont="1" applyFill="1" applyBorder="1" applyAlignment="1">
      <alignment vertical="center"/>
    </xf>
    <xf numFmtId="41" fontId="69"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168" fontId="23" fillId="10" borderId="0" xfId="0" applyNumberFormat="1" applyFont="1" applyFill="1" applyAlignment="1" applyProtection="1">
      <alignment horizontal="left" vertical="center"/>
      <protection locked="0"/>
    </xf>
    <xf numFmtId="0" fontId="14" fillId="10" borderId="0" xfId="0" applyFont="1" applyFill="1" applyAlignment="1" applyProtection="1">
      <alignment horizontal="left" vertical="center"/>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3" fillId="10" borderId="7" xfId="0" applyNumberFormat="1" applyFont="1" applyFill="1" applyBorder="1" applyAlignment="1" applyProtection="1">
      <alignment vertical="center"/>
      <protection locked="0"/>
    </xf>
    <xf numFmtId="168" fontId="23" fillId="10" borderId="4" xfId="0" applyNumberFormat="1" applyFont="1" applyFill="1" applyBorder="1" applyAlignment="1" applyProtection="1">
      <alignment horizontal="left" vertical="center" indent="2"/>
      <protection locked="0"/>
    </xf>
    <xf numFmtId="168" fontId="23" fillId="10" borderId="4" xfId="0" applyNumberFormat="1" applyFont="1" applyFill="1" applyBorder="1" applyAlignment="1" applyProtection="1">
      <alignment horizontal="left" vertical="center"/>
      <protection locked="0"/>
    </xf>
    <xf numFmtId="168" fontId="23" fillId="10" borderId="4" xfId="0" applyNumberFormat="1" applyFont="1" applyFill="1" applyBorder="1" applyAlignment="1" applyProtection="1">
      <alignment horizontal="left" vertical="center" indent="1"/>
      <protection locked="0"/>
    </xf>
    <xf numFmtId="4" fontId="26" fillId="10" borderId="4" xfId="0" applyNumberFormat="1" applyFont="1" applyFill="1" applyBorder="1" applyAlignment="1" applyProtection="1">
      <alignment vertical="center"/>
      <protection locked="0"/>
    </xf>
    <xf numFmtId="4" fontId="26" fillId="10" borderId="6" xfId="0" applyNumberFormat="1" applyFont="1" applyFill="1" applyBorder="1" applyAlignment="1" applyProtection="1">
      <alignment horizontal="right" vertical="center"/>
      <protection locked="0"/>
    </xf>
    <xf numFmtId="0" fontId="23" fillId="10" borderId="3" xfId="0" applyFont="1" applyFill="1" applyBorder="1" applyAlignment="1" applyProtection="1">
      <alignment horizontal="lef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4" fontId="26" fillId="10" borderId="3" xfId="0" applyNumberFormat="1" applyFont="1" applyFill="1" applyBorder="1" applyAlignment="1" applyProtection="1">
      <alignment vertical="center"/>
      <protection locked="0"/>
    </xf>
    <xf numFmtId="4" fontId="23" fillId="10" borderId="33" xfId="0" applyNumberFormat="1" applyFont="1" applyFill="1" applyBorder="1" applyAlignment="1" applyProtection="1">
      <alignment vertical="center"/>
      <protection locked="0"/>
    </xf>
    <xf numFmtId="4" fontId="23" fillId="10" borderId="34" xfId="0" applyNumberFormat="1" applyFont="1" applyFill="1" applyBorder="1" applyAlignment="1" applyProtection="1">
      <alignment vertical="center"/>
      <protection locked="0"/>
    </xf>
    <xf numFmtId="3" fontId="23" fillId="10"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distributed"/>
      <protection locked="0"/>
    </xf>
    <xf numFmtId="0" fontId="23" fillId="10" borderId="6" xfId="0" applyFont="1" applyFill="1" applyBorder="1" applyAlignment="1" applyProtection="1">
      <alignment horizontal="left" vertical="center"/>
      <protection locked="0"/>
    </xf>
    <xf numFmtId="166" fontId="23" fillId="10" borderId="6" xfId="0" applyNumberFormat="1" applyFont="1" applyFill="1" applyBorder="1" applyAlignment="1" applyProtection="1">
      <alignment vertical="center"/>
      <protection locked="0"/>
    </xf>
    <xf numFmtId="0" fontId="25" fillId="10" borderId="5" xfId="0" applyFont="1" applyFill="1" applyBorder="1" applyAlignment="1" applyProtection="1">
      <alignment vertical="distributed"/>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0" fontId="68" fillId="10" borderId="4" xfId="0" applyFont="1" applyFill="1" applyBorder="1" applyAlignment="1" applyProtection="1">
      <alignment horizontal="center" vertical="distributed"/>
      <protection locked="0"/>
    </xf>
    <xf numFmtId="41" fontId="26" fillId="10" borderId="4" xfId="0" applyNumberFormat="1" applyFont="1" applyFill="1" applyBorder="1" applyAlignment="1" applyProtection="1">
      <alignment horizontal="center" vertical="distributed"/>
      <protection locked="0"/>
    </xf>
    <xf numFmtId="41" fontId="69" fillId="10" borderId="48" xfId="0" applyNumberFormat="1" applyFont="1" applyFill="1" applyBorder="1" applyAlignment="1">
      <alignment vertical="distributed"/>
    </xf>
    <xf numFmtId="0" fontId="23" fillId="10" borderId="5" xfId="0" applyFont="1" applyFill="1" applyBorder="1" applyAlignment="1" applyProtection="1">
      <alignment horizontal="left" vertical="center"/>
      <protection locked="0"/>
    </xf>
    <xf numFmtId="166" fontId="23" fillId="10" borderId="5"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distributed"/>
      <protection locked="0"/>
    </xf>
    <xf numFmtId="0" fontId="68" fillId="10" borderId="0" xfId="0" applyFont="1" applyFill="1" applyAlignment="1" applyProtection="1">
      <alignment horizontal="center" vertical="distributed"/>
      <protection locked="0"/>
    </xf>
    <xf numFmtId="0" fontId="37" fillId="10" borderId="51" xfId="0" applyFont="1" applyFill="1" applyBorder="1" applyAlignment="1" applyProtection="1">
      <alignment horizontal="center" vertical="distributed"/>
      <protection locked="0"/>
    </xf>
    <xf numFmtId="0" fontId="37" fillId="10" borderId="0" xfId="0" applyFont="1" applyFill="1" applyAlignment="1" applyProtection="1">
      <alignment horizontal="center" vertical="distributed"/>
      <protection locked="0"/>
    </xf>
    <xf numFmtId="41" fontId="26" fillId="10" borderId="0" xfId="0" applyNumberFormat="1" applyFont="1" applyFill="1" applyAlignment="1" applyProtection="1">
      <alignment horizontal="center" vertical="distributed"/>
      <protection locked="0"/>
    </xf>
    <xf numFmtId="41" fontId="69"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6" fillId="10" borderId="4" xfId="2" applyNumberFormat="1" applyFont="1" applyFill="1" applyBorder="1" applyAlignment="1" applyProtection="1">
      <alignment vertical="center"/>
      <protection locked="0"/>
    </xf>
    <xf numFmtId="4" fontId="69" fillId="10" borderId="4" xfId="0" applyNumberFormat="1" applyFont="1" applyFill="1" applyBorder="1" applyAlignment="1" applyProtection="1">
      <alignment horizontal="center" vertical="distributed"/>
      <protection locked="0"/>
    </xf>
    <xf numFmtId="4" fontId="23" fillId="10" borderId="6" xfId="0" applyNumberFormat="1" applyFont="1" applyFill="1" applyBorder="1" applyAlignment="1" applyProtection="1">
      <alignment vertical="distributed"/>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168" fontId="22" fillId="10" borderId="0" xfId="0" applyNumberFormat="1" applyFont="1" applyFill="1" applyAlignment="1" applyProtection="1">
      <alignment horizontal="left" vertical="center"/>
      <protection locked="0"/>
    </xf>
    <xf numFmtId="4" fontId="26" fillId="10" borderId="5" xfId="0" applyNumberFormat="1" applyFont="1" applyFill="1" applyBorder="1" applyAlignment="1" applyProtection="1">
      <alignment horizontal="right"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0" fontId="23" fillId="10" borderId="5" xfId="0" applyFont="1" applyFill="1" applyBorder="1" applyAlignment="1" applyProtection="1">
      <alignment vertical="center"/>
      <protection locked="0"/>
    </xf>
    <xf numFmtId="4" fontId="23" fillId="10" borderId="10" xfId="0" applyNumberFormat="1" applyFont="1" applyFill="1" applyBorder="1" applyAlignment="1" applyProtection="1">
      <alignment vertical="center"/>
      <protection locked="0"/>
    </xf>
    <xf numFmtId="4" fontId="23" fillId="10" borderId="9" xfId="0" applyNumberFormat="1" applyFont="1" applyFill="1" applyBorder="1" applyAlignment="1" applyProtection="1">
      <alignment vertical="center"/>
      <protection locked="0"/>
    </xf>
    <xf numFmtId="0" fontId="23" fillId="10" borderId="6" xfId="0" applyFont="1" applyFill="1" applyBorder="1" applyAlignment="1" applyProtection="1">
      <alignment vertical="center"/>
      <protection locked="0"/>
    </xf>
    <xf numFmtId="0" fontId="23" fillId="10" borderId="0" xfId="0" applyFont="1" applyFill="1" applyAlignment="1" applyProtection="1">
      <alignment horizontal="right" vertical="center" wrapText="1"/>
      <protection locked="0"/>
    </xf>
    <xf numFmtId="168" fontId="23" fillId="10" borderId="3" xfId="0" applyNumberFormat="1" applyFont="1" applyFill="1" applyBorder="1" applyAlignment="1" applyProtection="1">
      <alignment horizontal="lef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 fontId="22" fillId="10" borderId="0" xfId="0" applyNumberFormat="1" applyFont="1" applyFill="1" applyAlignment="1" applyProtection="1">
      <alignment vertical="center"/>
      <protection locked="0"/>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4"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168" fontId="26" fillId="10" borderId="0" xfId="0" applyNumberFormat="1" applyFont="1" applyFill="1" applyAlignment="1" applyProtection="1">
      <alignment vertical="center"/>
      <protection locked="0"/>
    </xf>
    <xf numFmtId="0" fontId="23" fillId="10" borderId="5" xfId="0" quotePrefix="1" applyFont="1" applyFill="1" applyBorder="1" applyAlignment="1" applyProtection="1">
      <alignment horizontal="left" vertical="distributed"/>
      <protection locked="0"/>
    </xf>
    <xf numFmtId="0" fontId="23" fillId="10" borderId="5" xfId="0" applyFont="1" applyFill="1" applyBorder="1" applyAlignment="1" applyProtection="1">
      <alignment vertical="distributed" wrapText="1"/>
      <protection locked="0"/>
    </xf>
    <xf numFmtId="0" fontId="23" fillId="10" borderId="6"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wrapText="1" indent="2"/>
      <protection locked="0"/>
    </xf>
    <xf numFmtId="0" fontId="23" fillId="10" borderId="5"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wrapText="1" indent="1"/>
      <protection locked="0"/>
    </xf>
    <xf numFmtId="0" fontId="23" fillId="10" borderId="4" xfId="0" applyFont="1" applyFill="1" applyBorder="1" applyAlignment="1" applyProtection="1">
      <alignment vertical="distributed" wrapText="1"/>
      <protection locked="0"/>
    </xf>
    <xf numFmtId="0" fontId="23" fillId="10" borderId="0" xfId="0" applyFont="1" applyFill="1" applyAlignment="1" applyProtection="1">
      <alignment horizontal="left" vertical="distributed"/>
      <protection locked="0"/>
    </xf>
    <xf numFmtId="0" fontId="23" fillId="10" borderId="4" xfId="0" applyFont="1" applyFill="1" applyBorder="1" applyAlignment="1" applyProtection="1">
      <alignment horizontal="left" vertical="distributed"/>
      <protection locked="0"/>
    </xf>
    <xf numFmtId="0" fontId="25" fillId="10" borderId="5" xfId="0" applyFont="1" applyFill="1" applyBorder="1" applyAlignment="1" applyProtection="1">
      <alignment vertical="distributed" wrapText="1"/>
      <protection locked="0"/>
    </xf>
    <xf numFmtId="0" fontId="25" fillId="10" borderId="0" xfId="0" applyFont="1" applyFill="1" applyAlignment="1" applyProtection="1">
      <alignment vertical="distributed"/>
      <protection locked="0"/>
    </xf>
    <xf numFmtId="0" fontId="29" fillId="10" borderId="0" xfId="0" applyFont="1" applyFill="1" applyAlignment="1" applyProtection="1">
      <alignment vertical="distributed"/>
      <protection locked="0"/>
    </xf>
    <xf numFmtId="0" fontId="25" fillId="10" borderId="51" xfId="0" applyFont="1" applyFill="1" applyBorder="1" applyAlignment="1" applyProtection="1">
      <alignment vertical="distributed"/>
      <protection locked="0"/>
    </xf>
    <xf numFmtId="0" fontId="64" fillId="10" borderId="5" xfId="0" applyFont="1" applyFill="1" applyBorder="1" applyAlignment="1" applyProtection="1">
      <alignment horizontal="center" vertical="distributed"/>
      <protection locked="0"/>
    </xf>
    <xf numFmtId="0" fontId="64" fillId="10" borderId="44" xfId="0" applyFont="1" applyFill="1" applyBorder="1" applyAlignment="1">
      <alignment vertical="distributed"/>
    </xf>
    <xf numFmtId="4" fontId="26" fillId="10" borderId="0" xfId="0" applyNumberFormat="1" applyFont="1" applyFill="1" applyAlignment="1" applyProtection="1">
      <alignment vertical="center"/>
      <protection locked="0"/>
    </xf>
    <xf numFmtId="4" fontId="26" fillId="10" borderId="51"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40" fillId="10" borderId="5" xfId="0" applyNumberFormat="1" applyFont="1" applyFill="1" applyBorder="1" applyAlignment="1">
      <alignment horizontal="center" vertical="distributed"/>
    </xf>
    <xf numFmtId="4" fontId="40" fillId="10" borderId="6" xfId="0" applyNumberFormat="1" applyFont="1" applyFill="1" applyBorder="1" applyAlignment="1">
      <alignment horizontal="center" vertical="distributed"/>
    </xf>
    <xf numFmtId="4" fontId="23" fillId="10" borderId="4" xfId="0" applyNumberFormat="1" applyFont="1" applyFill="1" applyBorder="1" applyAlignment="1">
      <alignment vertical="distributed"/>
    </xf>
    <xf numFmtId="4" fontId="23" fillId="10" borderId="4" xfId="0" applyNumberFormat="1" applyFont="1" applyFill="1" applyBorder="1" applyAlignment="1" applyProtection="1">
      <alignment vertical="distributed"/>
      <protection locked="0"/>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52" xfId="0" applyNumberFormat="1" applyFont="1" applyFill="1" applyBorder="1" applyAlignment="1" applyProtection="1">
      <alignment horizontal="center" vertical="distributed"/>
      <protection locked="0"/>
    </xf>
    <xf numFmtId="4" fontId="26" fillId="10" borderId="51"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0" fontId="64" fillId="10" borderId="4" xfId="0" applyFont="1" applyFill="1" applyBorder="1" applyAlignment="1" applyProtection="1">
      <alignment horizontal="center" vertical="distributed"/>
      <protection locked="0"/>
    </xf>
    <xf numFmtId="4" fontId="109" fillId="10" borderId="0" xfId="0" applyNumberFormat="1" applyFont="1" applyFill="1" applyAlignment="1">
      <alignment horizontal="center" vertical="center"/>
    </xf>
    <xf numFmtId="4" fontId="110" fillId="10" borderId="0" xfId="0" applyNumberFormat="1" applyFont="1" applyFill="1" applyAlignment="1">
      <alignment vertical="distributed"/>
    </xf>
    <xf numFmtId="0" fontId="111"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174" fontId="23" fillId="10" borderId="4" xfId="0" applyNumberFormat="1" applyFont="1" applyFill="1" applyBorder="1" applyAlignment="1" applyProtection="1">
      <alignment vertical="center"/>
      <protection locked="0"/>
    </xf>
    <xf numFmtId="0" fontId="63" fillId="10" borderId="0" xfId="11" applyFont="1" applyFill="1" applyAlignment="1" applyProtection="1">
      <alignment horizontal="left" vertical="center"/>
      <protection locked="0"/>
    </xf>
    <xf numFmtId="0" fontId="63" fillId="10" borderId="0" xfId="11" applyFont="1" applyFill="1" applyAlignment="1" applyProtection="1">
      <alignment vertical="center"/>
      <protection locked="0"/>
    </xf>
    <xf numFmtId="0" fontId="83" fillId="10" borderId="82" xfId="0" applyFont="1" applyFill="1" applyBorder="1" applyAlignment="1" applyProtection="1">
      <alignment vertical="center"/>
      <protection locked="0"/>
    </xf>
    <xf numFmtId="0" fontId="83" fillId="10" borderId="85" xfId="0" applyFont="1" applyFill="1" applyBorder="1" applyAlignment="1" applyProtection="1">
      <alignment vertical="center"/>
      <protection locked="0"/>
    </xf>
    <xf numFmtId="1" fontId="72" fillId="10" borderId="143" xfId="0" applyNumberFormat="1" applyFont="1" applyFill="1" applyBorder="1" applyAlignment="1" applyProtection="1">
      <alignment horizontal="center" vertical="center"/>
      <protection locked="0"/>
    </xf>
    <xf numFmtId="4" fontId="77" fillId="10" borderId="143" xfId="0" applyNumberFormat="1" applyFont="1" applyFill="1" applyBorder="1" applyAlignment="1" applyProtection="1">
      <alignment horizontal="center" vertical="center"/>
      <protection locked="0"/>
    </xf>
    <xf numFmtId="49" fontId="77" fillId="10" borderId="143" xfId="0" applyNumberFormat="1" applyFont="1" applyFill="1" applyBorder="1" applyAlignment="1" applyProtection="1">
      <alignment horizontal="center" vertical="center"/>
      <protection locked="0"/>
    </xf>
    <xf numFmtId="49" fontId="77" fillId="10" borderId="140" xfId="0" applyNumberFormat="1" applyFont="1" applyFill="1" applyBorder="1" applyAlignment="1" applyProtection="1">
      <alignment horizontal="center" vertical="center"/>
      <protection locked="0"/>
    </xf>
    <xf numFmtId="4" fontId="77" fillId="10" borderId="142" xfId="0" applyNumberFormat="1" applyFont="1" applyFill="1" applyBorder="1" applyAlignment="1" applyProtection="1">
      <alignment horizontal="center" vertical="center"/>
      <protection locked="0"/>
    </xf>
    <xf numFmtId="0" fontId="77" fillId="10" borderId="142" xfId="0" applyFont="1" applyFill="1" applyBorder="1" applyAlignment="1" applyProtection="1">
      <alignment horizontal="center" vertical="center"/>
      <protection locked="0"/>
    </xf>
    <xf numFmtId="0" fontId="77" fillId="10" borderId="145" xfId="0" applyFont="1" applyFill="1" applyBorder="1" applyAlignment="1" applyProtection="1">
      <alignment horizontal="center" vertical="center"/>
      <protection locked="0"/>
    </xf>
    <xf numFmtId="0" fontId="77" fillId="10" borderId="142" xfId="0" applyFont="1" applyFill="1" applyBorder="1" applyAlignment="1" applyProtection="1">
      <alignment vertical="center"/>
      <protection locked="0"/>
    </xf>
    <xf numFmtId="4" fontId="77" fillId="10" borderId="132" xfId="0" applyNumberFormat="1" applyFont="1" applyFill="1" applyBorder="1" applyAlignment="1" applyProtection="1">
      <alignment horizontal="center" vertical="center"/>
      <protection locked="0"/>
    </xf>
    <xf numFmtId="4" fontId="72" fillId="10" borderId="132" xfId="0" applyNumberFormat="1" applyFont="1" applyFill="1" applyBorder="1" applyAlignment="1" applyProtection="1">
      <alignment horizontal="center" vertical="center"/>
      <protection locked="0"/>
    </xf>
    <xf numFmtId="0" fontId="77" fillId="10" borderId="132" xfId="0" applyFont="1" applyFill="1" applyBorder="1" applyAlignment="1" applyProtection="1">
      <alignment vertical="center"/>
      <protection locked="0"/>
    </xf>
    <xf numFmtId="9" fontId="77" fillId="10" borderId="132" xfId="0" applyNumberFormat="1" applyFont="1" applyFill="1" applyBorder="1" applyAlignment="1" applyProtection="1">
      <alignment horizontal="center" vertical="center"/>
      <protection locked="0"/>
    </xf>
    <xf numFmtId="9" fontId="77" fillId="10" borderId="133" xfId="0" applyNumberFormat="1" applyFont="1" applyFill="1" applyBorder="1" applyAlignment="1" applyProtection="1">
      <alignment horizontal="center" vertical="center"/>
      <protection locked="0"/>
    </xf>
    <xf numFmtId="0" fontId="83" fillId="10" borderId="134" xfId="0" applyFont="1" applyFill="1" applyBorder="1" applyAlignment="1" applyProtection="1">
      <alignment vertical="center"/>
      <protection locked="0"/>
    </xf>
    <xf numFmtId="4" fontId="83" fillId="10" borderId="135" xfId="0" applyNumberFormat="1" applyFont="1" applyFill="1" applyBorder="1" applyAlignment="1">
      <alignment horizontal="right" vertical="center" indent="1"/>
    </xf>
    <xf numFmtId="4" fontId="83" fillId="10" borderId="136" xfId="0" applyNumberFormat="1" applyFont="1" applyFill="1" applyBorder="1" applyAlignment="1">
      <alignment horizontal="right" vertical="center" indent="1"/>
    </xf>
    <xf numFmtId="4" fontId="63" fillId="10" borderId="0" xfId="11" applyNumberFormat="1" applyFont="1" applyFill="1" applyAlignment="1" applyProtection="1">
      <alignment vertical="center"/>
      <protection locked="0"/>
    </xf>
    <xf numFmtId="0" fontId="83" fillId="10" borderId="137" xfId="0" applyFont="1" applyFill="1" applyBorder="1" applyAlignment="1" applyProtection="1">
      <alignment vertical="center"/>
      <protection locked="0"/>
    </xf>
    <xf numFmtId="4" fontId="83" fillId="10" borderId="138" xfId="0" applyNumberFormat="1" applyFont="1" applyFill="1" applyBorder="1" applyAlignment="1">
      <alignment horizontal="right" vertical="center" indent="1"/>
    </xf>
    <xf numFmtId="4" fontId="83" fillId="10" borderId="139" xfId="0" applyNumberFormat="1" applyFont="1" applyFill="1" applyBorder="1" applyAlignment="1">
      <alignment horizontal="right" vertical="center" indent="1"/>
    </xf>
    <xf numFmtId="0" fontId="83" fillId="10" borderId="0" xfId="0" applyFont="1" applyFill="1" applyAlignment="1" applyProtection="1">
      <alignment vertical="center"/>
      <protection locked="0"/>
    </xf>
    <xf numFmtId="4" fontId="83" fillId="10" borderId="0" xfId="0" applyNumberFormat="1" applyFont="1" applyFill="1" applyAlignment="1" applyProtection="1">
      <alignment vertical="center"/>
      <protection locked="0"/>
    </xf>
    <xf numFmtId="0" fontId="83"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applyAlignment="1">
      <alignment horizontal="centerContinuous"/>
    </xf>
    <xf numFmtId="4" fontId="6" fillId="10" borderId="0" xfId="6" applyNumberFormat="1" applyFont="1" applyFill="1"/>
    <xf numFmtId="0" fontId="11" fillId="10" borderId="0" xfId="6" applyFont="1" applyFill="1"/>
    <xf numFmtId="2" fontId="80" fillId="10" borderId="0" xfId="6" applyNumberFormat="1" applyFont="1" applyFill="1"/>
    <xf numFmtId="0" fontId="9" fillId="10" borderId="0" xfId="6"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7" fillId="10" borderId="0" xfId="6" applyFont="1" applyFill="1"/>
    <xf numFmtId="10" fontId="9" fillId="10" borderId="0" xfId="2" applyNumberFormat="1" applyFont="1" applyFill="1" applyBorder="1"/>
    <xf numFmtId="2" fontId="23" fillId="10" borderId="0" xfId="6" applyNumberFormat="1" applyFont="1" applyFill="1"/>
    <xf numFmtId="2" fontId="44" fillId="10" borderId="0" xfId="6" applyNumberFormat="1" applyFont="1" applyFill="1" applyAlignment="1">
      <alignment horizontal="right"/>
    </xf>
    <xf numFmtId="2" fontId="44" fillId="10" borderId="0" xfId="6" applyNumberFormat="1" applyFont="1" applyFill="1"/>
    <xf numFmtId="0" fontId="44" fillId="10" borderId="0" xfId="6" applyFont="1" applyFill="1"/>
    <xf numFmtId="2" fontId="27" fillId="10" borderId="0" xfId="6" applyNumberFormat="1" applyFont="1" applyFill="1"/>
    <xf numFmtId="165" fontId="29" fillId="10" borderId="0" xfId="6" applyNumberFormat="1" applyFont="1" applyFill="1"/>
    <xf numFmtId="0" fontId="23" fillId="10" borderId="0" xfId="6" applyFont="1" applyFill="1" applyAlignment="1">
      <alignment horizontal="right"/>
    </xf>
    <xf numFmtId="0" fontId="76" fillId="10" borderId="0" xfId="6" applyFont="1" applyFill="1"/>
    <xf numFmtId="2" fontId="9" fillId="10" borderId="0" xfId="6" applyNumberFormat="1" applyFont="1" applyFill="1"/>
    <xf numFmtId="166" fontId="6" fillId="10" borderId="0" xfId="6" applyNumberFormat="1" applyFont="1" applyFill="1"/>
    <xf numFmtId="0" fontId="6" fillId="10" borderId="0" xfId="6"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8" fillId="10" borderId="0" xfId="6" applyNumberFormat="1" applyFont="1" applyFill="1"/>
    <xf numFmtId="3" fontId="23" fillId="10" borderId="0" xfId="6" applyNumberFormat="1" applyFont="1" applyFill="1"/>
    <xf numFmtId="0" fontId="41" fillId="10" borderId="0" xfId="6" applyFont="1" applyFill="1"/>
    <xf numFmtId="3" fontId="58" fillId="10" borderId="0" xfId="6" applyNumberFormat="1" applyFont="1" applyFill="1"/>
    <xf numFmtId="3" fontId="23" fillId="10" borderId="0" xfId="6" applyNumberFormat="1" applyFont="1" applyFill="1" applyAlignment="1">
      <alignment horizontal="center"/>
    </xf>
    <xf numFmtId="10" fontId="23" fillId="10" borderId="0" xfId="2" applyNumberFormat="1" applyFont="1" applyFill="1" applyBorder="1" applyProtection="1"/>
    <xf numFmtId="0" fontId="7" fillId="10" borderId="0" xfId="6" applyFont="1" applyFill="1"/>
    <xf numFmtId="2" fontId="112" fillId="10" borderId="0" xfId="6" applyNumberFormat="1" applyFont="1" applyFill="1" applyAlignment="1">
      <alignment horizontal="right"/>
    </xf>
    <xf numFmtId="2" fontId="113" fillId="10" borderId="0" xfId="6" applyNumberFormat="1" applyFont="1" applyFill="1" applyAlignment="1">
      <alignment horizontal="right"/>
    </xf>
    <xf numFmtId="2" fontId="112" fillId="10" borderId="0" xfId="6" applyNumberFormat="1" applyFont="1" applyFill="1"/>
    <xf numFmtId="2" fontId="114" fillId="10" borderId="0" xfId="6" applyNumberFormat="1" applyFont="1" applyFill="1"/>
    <xf numFmtId="0" fontId="115" fillId="10" borderId="0" xfId="0" applyFont="1" applyFill="1" applyAlignment="1" applyProtection="1">
      <alignment horizontal="left" vertical="center"/>
      <protection locked="0"/>
    </xf>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9"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7" fillId="10" borderId="0" xfId="4" applyFont="1" applyFill="1" applyAlignment="1" applyProtection="1">
      <alignment horizontal="left" vertical="center"/>
      <protection locked="0"/>
    </xf>
    <xf numFmtId="170" fontId="57" fillId="10" borderId="0" xfId="4" applyNumberFormat="1" applyFont="1" applyFill="1" applyAlignment="1">
      <alignment vertical="center"/>
    </xf>
    <xf numFmtId="0" fontId="45"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8"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174" fontId="23" fillId="10" borderId="5" xfId="0" applyNumberFormat="1" applyFont="1" applyFill="1" applyBorder="1" applyAlignment="1" applyProtection="1">
      <alignment vertical="distributed"/>
      <protection locked="0"/>
    </xf>
    <xf numFmtId="174" fontId="23" fillId="10" borderId="6" xfId="0" applyNumberFormat="1" applyFont="1" applyFill="1" applyBorder="1" applyAlignment="1" applyProtection="1">
      <alignment vertical="distributed"/>
      <protection locked="0"/>
    </xf>
    <xf numFmtId="0" fontId="47"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indent="1"/>
      <protection hidden="1"/>
    </xf>
    <xf numFmtId="168" fontId="22" fillId="10" borderId="0" xfId="0" applyNumberFormat="1" applyFont="1" applyFill="1" applyAlignment="1" applyProtection="1">
      <alignment horizontal="left" vertical="center"/>
      <protection hidden="1"/>
    </xf>
    <xf numFmtId="168" fontId="107"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3"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40" fillId="10" borderId="0" xfId="0" applyNumberFormat="1" applyFont="1" applyFill="1"/>
    <xf numFmtId="0" fontId="40" fillId="10" borderId="0" xfId="0" applyFont="1" applyFill="1"/>
    <xf numFmtId="4" fontId="40" fillId="10" borderId="0" xfId="0" applyNumberFormat="1" applyFont="1" applyFill="1"/>
    <xf numFmtId="0" fontId="38" fillId="10" borderId="0" xfId="0" applyFont="1" applyFill="1"/>
    <xf numFmtId="3" fontId="27" fillId="10" borderId="21" xfId="0" applyNumberFormat="1" applyFont="1" applyFill="1" applyBorder="1" applyAlignment="1" applyProtection="1">
      <alignment horizontal="center" vertical="center"/>
      <protection locked="0"/>
    </xf>
    <xf numFmtId="0" fontId="27" fillId="10" borderId="26" xfId="0"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6" fillId="10" borderId="0" xfId="0" applyFont="1" applyFill="1"/>
    <xf numFmtId="2" fontId="46" fillId="10" borderId="0" xfId="0" applyNumberFormat="1" applyFont="1" applyFill="1"/>
    <xf numFmtId="0" fontId="27" fillId="10" borderId="21" xfId="0" applyFont="1" applyFill="1" applyBorder="1" applyAlignment="1" applyProtection="1">
      <alignment horizontal="center" vertical="center"/>
      <protection locked="0"/>
    </xf>
    <xf numFmtId="0" fontId="23" fillId="10" borderId="15" xfId="0" applyFont="1" applyFill="1" applyBorder="1" applyAlignment="1" applyProtection="1">
      <alignment horizontal="left" vertical="center" wrapText="1"/>
      <protection locked="0"/>
    </xf>
    <xf numFmtId="0" fontId="23" fillId="10" borderId="16" xfId="0" applyFont="1" applyFill="1" applyBorder="1" applyAlignment="1" applyProtection="1">
      <alignment vertical="center" wrapText="1"/>
      <protection locked="0"/>
    </xf>
    <xf numFmtId="0" fontId="23" fillId="10" borderId="14" xfId="0" applyFont="1" applyFill="1" applyBorder="1" applyAlignment="1" applyProtection="1">
      <alignment horizontal="left" vertical="center"/>
      <protection locked="0"/>
    </xf>
    <xf numFmtId="0" fontId="26" fillId="10" borderId="39" xfId="0" applyFont="1" applyFill="1" applyBorder="1" applyAlignment="1" applyProtection="1">
      <alignment horizontal="center" vertical="center"/>
      <protection locked="0"/>
    </xf>
    <xf numFmtId="0" fontId="40"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168" fontId="22" fillId="10" borderId="3" xfId="0" applyNumberFormat="1" applyFont="1" applyFill="1" applyBorder="1" applyAlignment="1">
      <alignment vertical="center"/>
    </xf>
    <xf numFmtId="4" fontId="23" fillId="10" borderId="3" xfId="0" applyNumberFormat="1" applyFont="1" applyFill="1" applyBorder="1" applyAlignment="1">
      <alignment horizontal="center" vertical="center"/>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168" fontId="23" fillId="10" borderId="4" xfId="0" applyNumberFormat="1" applyFont="1" applyFill="1" applyBorder="1" applyAlignment="1">
      <alignment vertical="center"/>
    </xf>
    <xf numFmtId="4" fontId="26" fillId="10" borderId="4" xfId="0" applyNumberFormat="1" applyFont="1" applyFill="1" applyBorder="1" applyAlignment="1">
      <alignment horizontal="center" vertical="center"/>
    </xf>
    <xf numFmtId="174" fontId="23" fillId="10" borderId="3" xfId="0" applyNumberFormat="1" applyFont="1" applyFill="1" applyBorder="1" applyAlignment="1">
      <alignment vertical="distributed"/>
    </xf>
    <xf numFmtId="4" fontId="25" fillId="10" borderId="0" xfId="0" applyNumberFormat="1" applyFont="1" applyFill="1" applyAlignment="1">
      <alignment horizontal="right" vertical="center"/>
    </xf>
    <xf numFmtId="4" fontId="23" fillId="10" borderId="65" xfId="0" applyNumberFormat="1" applyFont="1" applyFill="1" applyBorder="1" applyAlignment="1">
      <alignment vertical="center"/>
    </xf>
    <xf numFmtId="168" fontId="23" fillId="10" borderId="5" xfId="0" applyNumberFormat="1" applyFont="1" applyFill="1" applyBorder="1" applyAlignment="1">
      <alignment vertical="center"/>
    </xf>
    <xf numFmtId="4" fontId="39" fillId="10" borderId="0" xfId="0" applyNumberFormat="1" applyFont="1" applyFill="1" applyAlignment="1" applyProtection="1">
      <alignment horizontal="right" vertical="center"/>
      <protection locked="0"/>
    </xf>
    <xf numFmtId="1" fontId="39" fillId="11" borderId="0" xfId="0" applyNumberFormat="1" applyFont="1" applyFill="1" applyAlignment="1">
      <alignment horizontal="center" vertical="center" wrapText="1" shrinkToFit="1"/>
    </xf>
    <xf numFmtId="1" fontId="39"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60" fillId="10" borderId="0" xfId="0" applyNumberFormat="1" applyFont="1" applyFill="1" applyAlignment="1" applyProtection="1">
      <alignment horizontal="right" vertical="center"/>
      <protection locked="0"/>
    </xf>
    <xf numFmtId="168" fontId="23" fillId="10" borderId="3" xfId="0" applyNumberFormat="1" applyFont="1" applyFill="1" applyBorder="1" applyAlignment="1">
      <alignment vertical="center"/>
    </xf>
    <xf numFmtId="168" fontId="23" fillId="10" borderId="0" xfId="0" applyNumberFormat="1" applyFont="1" applyFill="1" applyAlignment="1">
      <alignmen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vertical="center"/>
    </xf>
    <xf numFmtId="4" fontId="23" fillId="4" borderId="32" xfId="0" applyNumberFormat="1" applyFont="1" applyFill="1" applyBorder="1" applyAlignment="1" applyProtection="1">
      <alignment vertical="distributed"/>
      <protection locked="0"/>
    </xf>
    <xf numFmtId="174" fontId="60" fillId="10" borderId="88" xfId="0" applyNumberFormat="1" applyFont="1" applyFill="1" applyBorder="1" applyAlignment="1" applyProtection="1">
      <alignment horizontal="right" vertical="center"/>
      <protection locked="0"/>
    </xf>
    <xf numFmtId="174" fontId="60" fillId="10" borderId="0" xfId="0" applyNumberFormat="1" applyFont="1" applyFill="1" applyAlignment="1" applyProtection="1">
      <alignment horizontal="right" vertical="center"/>
      <protection locked="0"/>
    </xf>
    <xf numFmtId="174" fontId="25" fillId="10" borderId="0" xfId="0" applyNumberFormat="1" applyFont="1" applyFill="1" applyAlignment="1" applyProtection="1">
      <alignment horizontal="center" vertical="center"/>
      <protection locked="0"/>
    </xf>
    <xf numFmtId="174" fontId="116"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7" fillId="0" borderId="150" xfId="0" applyNumberFormat="1" applyFont="1" applyBorder="1" applyAlignment="1" applyProtection="1">
      <alignment vertical="center"/>
      <protection locked="0"/>
    </xf>
    <xf numFmtId="174" fontId="23" fillId="4" borderId="153" xfId="0" applyNumberFormat="1" applyFont="1" applyFill="1" applyBorder="1" applyAlignment="1" applyProtection="1">
      <alignment vertical="center"/>
      <protection locked="0"/>
    </xf>
    <xf numFmtId="174" fontId="117"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3"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5" fillId="10" borderId="0" xfId="0" applyNumberFormat="1" applyFont="1" applyFill="1" applyAlignment="1" applyProtection="1">
      <alignment vertical="distributed"/>
      <protection locked="0"/>
    </xf>
    <xf numFmtId="174" fontId="25" fillId="10" borderId="5" xfId="0" applyNumberFormat="1" applyFont="1" applyFill="1" applyBorder="1" applyAlignment="1" applyProtection="1">
      <alignment vertical="distributed"/>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10" borderId="3" xfId="0" applyNumberFormat="1" applyFont="1" applyFill="1" applyBorder="1" applyAlignment="1">
      <alignment vertical="center"/>
    </xf>
    <xf numFmtId="174" fontId="23" fillId="10" borderId="64" xfId="0" applyNumberFormat="1" applyFont="1" applyFill="1" applyBorder="1" applyAlignment="1">
      <alignment vertical="center"/>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2" xfId="0" applyNumberFormat="1" applyFont="1" applyFill="1" applyBorder="1" applyAlignment="1" applyProtection="1">
      <alignment vertical="center"/>
      <protection locked="0"/>
    </xf>
    <xf numFmtId="174" fontId="23" fillId="4" borderId="64" xfId="0" applyNumberFormat="1" applyFont="1" applyFill="1" applyBorder="1" applyAlignment="1" applyProtection="1">
      <alignment vertical="center"/>
      <protection locked="0"/>
    </xf>
    <xf numFmtId="174" fontId="23" fillId="4"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7"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9"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3" borderId="93" xfId="0" applyNumberFormat="1" applyFont="1" applyFill="1" applyBorder="1" applyAlignment="1">
      <alignment vertical="center"/>
    </xf>
    <xf numFmtId="174" fontId="23" fillId="3" borderId="94" xfId="0" applyNumberFormat="1" applyFont="1" applyFill="1" applyBorder="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4" xfId="1" applyFont="1" applyFill="1" applyBorder="1" applyAlignment="1">
      <alignment vertical="center"/>
    </xf>
    <xf numFmtId="4" fontId="23" fillId="10" borderId="3" xfId="1" applyFont="1" applyFill="1" applyBorder="1" applyAlignment="1" applyProtection="1">
      <alignment vertical="center"/>
    </xf>
    <xf numFmtId="168" fontId="85"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3" fillId="10" borderId="9" xfId="0" applyFont="1" applyFill="1" applyBorder="1"/>
    <xf numFmtId="0" fontId="23" fillId="10" borderId="8" xfId="0" applyFont="1" applyFill="1" applyBorder="1" applyAlignment="1" applyProtection="1">
      <alignment vertical="center"/>
      <protection locked="0"/>
    </xf>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174" fontId="23" fillId="10" borderId="4" xfId="0" applyNumberFormat="1" applyFont="1" applyFill="1" applyBorder="1" applyAlignment="1">
      <alignment vertical="center"/>
    </xf>
    <xf numFmtId="174" fontId="23" fillId="10" borderId="0" xfId="0" applyNumberFormat="1" applyFont="1" applyFill="1" applyAlignment="1">
      <alignment vertical="center"/>
    </xf>
    <xf numFmtId="174" fontId="25" fillId="10" borderId="89" xfId="0" applyNumberFormat="1" applyFont="1" applyFill="1" applyBorder="1" applyAlignment="1">
      <alignment horizontal="right" vertical="center"/>
    </xf>
    <xf numFmtId="174" fontId="25" fillId="10" borderId="0" xfId="0" applyNumberFormat="1" applyFont="1" applyFill="1" applyAlignment="1">
      <alignment horizontal="right" vertical="center" wrapText="1"/>
    </xf>
    <xf numFmtId="174" fontId="25" fillId="10" borderId="0" xfId="0" applyNumberFormat="1" applyFont="1" applyFill="1" applyAlignment="1">
      <alignment horizontal="right" vertical="center"/>
    </xf>
    <xf numFmtId="0" fontId="36" fillId="10" borderId="6" xfId="0" applyFont="1" applyFill="1" applyBorder="1" applyAlignment="1" applyProtection="1">
      <alignment vertical="distributed"/>
      <protection locked="0"/>
    </xf>
    <xf numFmtId="0" fontId="36" fillId="10" borderId="52" xfId="0" applyFont="1" applyFill="1" applyBorder="1" applyAlignment="1" applyProtection="1">
      <alignment vertical="distributed"/>
      <protection locked="0"/>
    </xf>
    <xf numFmtId="41" fontId="26" fillId="10" borderId="154"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177" fontId="118" fillId="0" borderId="149" xfId="0" applyNumberFormat="1" applyFont="1" applyBorder="1" applyAlignment="1" applyProtection="1">
      <alignment horizontal="center" vertical="distributed"/>
      <protection locked="0"/>
    </xf>
    <xf numFmtId="0" fontId="23" fillId="10" borderId="0" xfId="0" applyFont="1" applyFill="1" applyAlignment="1">
      <alignment vertical="center"/>
    </xf>
    <xf numFmtId="0" fontId="23" fillId="10" borderId="4" xfId="0" applyFont="1" applyFill="1" applyBorder="1" applyAlignment="1">
      <alignment vertical="center"/>
    </xf>
    <xf numFmtId="41" fontId="61" fillId="10" borderId="44" xfId="0" applyNumberFormat="1" applyFont="1" applyFill="1" applyBorder="1" applyAlignment="1">
      <alignment vertical="distributed"/>
    </xf>
    <xf numFmtId="41" fontId="61" fillId="10" borderId="48" xfId="0" applyNumberFormat="1" applyFont="1" applyFill="1" applyBorder="1" applyAlignment="1">
      <alignment vertical="distributed"/>
    </xf>
    <xf numFmtId="177" fontId="118" fillId="13" borderId="149" xfId="0" applyNumberFormat="1" applyFont="1" applyFill="1" applyBorder="1" applyAlignment="1" applyProtection="1">
      <alignment horizontal="center" vertical="distributed"/>
      <protection locked="0"/>
    </xf>
    <xf numFmtId="0" fontId="37" fillId="10" borderId="52" xfId="0" applyFont="1" applyFill="1" applyBorder="1" applyAlignment="1" applyProtection="1">
      <alignment vertical="distributed"/>
      <protection locked="0"/>
    </xf>
    <xf numFmtId="0" fontId="37" fillId="10" borderId="6" xfId="0" applyFont="1" applyFill="1" applyBorder="1" applyAlignment="1" applyProtection="1">
      <alignment vertical="distributed"/>
      <protection locked="0"/>
    </xf>
    <xf numFmtId="4" fontId="27" fillId="10" borderId="27" xfId="0" applyNumberFormat="1" applyFont="1" applyFill="1" applyBorder="1" applyAlignment="1">
      <alignment horizontal="center" vertical="center"/>
    </xf>
    <xf numFmtId="0" fontId="40" fillId="10" borderId="0" xfId="0" applyFont="1" applyFill="1" applyAlignment="1" applyProtection="1">
      <alignment vertical="center"/>
      <protection locked="0"/>
    </xf>
    <xf numFmtId="0" fontId="7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23" fillId="10" borderId="119" xfId="0" applyFont="1" applyFill="1" applyBorder="1" applyAlignment="1" applyProtection="1">
      <alignment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9" xfId="1" applyNumberFormat="1" applyFont="1" applyFill="1" applyBorder="1" applyAlignment="1" applyProtection="1">
      <alignment horizontal="right" vertical="center"/>
      <protection locked="0"/>
    </xf>
    <xf numFmtId="9" fontId="22" fillId="10" borderId="118" xfId="2" applyFont="1" applyFill="1" applyBorder="1" applyAlignment="1" applyProtection="1">
      <alignment horizontal="right" vertical="center"/>
    </xf>
    <xf numFmtId="3" fontId="23" fillId="10" borderId="0" xfId="1" applyNumberFormat="1" applyFont="1" applyFill="1" applyBorder="1" applyAlignment="1" applyProtection="1">
      <alignment horizontal="right"/>
      <protection locked="0"/>
    </xf>
    <xf numFmtId="0" fontId="23" fillId="10" borderId="118" xfId="0" applyFont="1" applyFill="1" applyBorder="1" applyAlignment="1" applyProtection="1">
      <alignment vertical="center"/>
      <protection locked="0"/>
    </xf>
    <xf numFmtId="169" fontId="26" fillId="10" borderId="118" xfId="2" applyNumberFormat="1" applyFont="1" applyFill="1" applyBorder="1" applyAlignment="1" applyProtection="1">
      <alignment vertical="center"/>
    </xf>
    <xf numFmtId="3" fontId="22" fillId="10" borderId="118" xfId="1" applyNumberFormat="1" applyFont="1" applyFill="1" applyBorder="1" applyAlignment="1" applyProtection="1">
      <alignment horizontal="right" vertical="center"/>
    </xf>
    <xf numFmtId="0" fontId="23" fillId="10" borderId="0" xfId="0" applyFont="1" applyFill="1" applyProtection="1">
      <protection locked="0"/>
    </xf>
    <xf numFmtId="3" fontId="23" fillId="10" borderId="119"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8"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0" fontId="39" fillId="10" borderId="0" xfId="0" applyFont="1" applyFill="1" applyAlignment="1" applyProtection="1">
      <alignment vertical="center"/>
      <protection locked="0"/>
    </xf>
    <xf numFmtId="0" fontId="88" fillId="10" borderId="0" xfId="0" applyFont="1" applyFill="1" applyAlignment="1" applyProtection="1">
      <alignment vertical="center"/>
      <protection locked="0"/>
    </xf>
    <xf numFmtId="0" fontId="73" fillId="10" borderId="0" xfId="0" applyFont="1" applyFill="1" applyAlignment="1">
      <alignment vertical="center"/>
    </xf>
    <xf numFmtId="0" fontId="85" fillId="10" borderId="0" xfId="0" applyFont="1" applyFill="1" applyAlignment="1" applyProtection="1">
      <alignment horizontal="lef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0" fontId="40" fillId="10" borderId="0" xfId="0" applyFont="1" applyFill="1" applyAlignment="1" applyProtection="1">
      <alignment horizontal="left" vertical="center"/>
      <protection locked="0"/>
    </xf>
    <xf numFmtId="0" fontId="23" fillId="10" borderId="0" xfId="0" applyFont="1" applyFill="1" applyAlignment="1" applyProtection="1">
      <alignment horizontal="left" vertical="center" indent="1"/>
      <protection locked="0"/>
    </xf>
    <xf numFmtId="0" fontId="73" fillId="10" borderId="0" xfId="0" applyFont="1" applyFill="1" applyAlignment="1" applyProtection="1">
      <alignment horizontal="left" vertical="center"/>
      <protection locked="0"/>
    </xf>
    <xf numFmtId="0" fontId="22" fillId="10" borderId="0" xfId="0" applyFont="1" applyFill="1" applyAlignment="1" applyProtection="1">
      <alignment horizontal="left" vertical="center" indent="1"/>
      <protection locked="0"/>
    </xf>
    <xf numFmtId="3" fontId="23" fillId="10" borderId="0" xfId="1" applyNumberFormat="1" applyFont="1" applyFill="1" applyBorder="1" applyAlignment="1" applyProtection="1">
      <alignment horizontal="center" vertical="center"/>
      <protection locked="0"/>
    </xf>
    <xf numFmtId="3" fontId="23" fillId="10" borderId="0" xfId="0" applyNumberFormat="1" applyFont="1" applyFill="1" applyAlignment="1" applyProtection="1">
      <alignment horizontal="center" vertical="center"/>
      <protection locked="0"/>
    </xf>
    <xf numFmtId="0" fontId="23" fillId="10" borderId="119" xfId="0" applyFont="1" applyFill="1" applyBorder="1" applyAlignment="1" applyProtection="1">
      <alignment horizontal="left" vertical="center" indent="1"/>
      <protection locked="0"/>
    </xf>
    <xf numFmtId="3" fontId="23" fillId="10" borderId="4" xfId="1" applyNumberFormat="1" applyFont="1" applyFill="1" applyBorder="1" applyAlignment="1" applyProtection="1">
      <alignment vertical="center"/>
    </xf>
    <xf numFmtId="0" fontId="90" fillId="10" borderId="0" xfId="0" applyFont="1" applyFill="1" applyAlignment="1" applyProtection="1">
      <alignment horizontal="left" vertical="center"/>
      <protection locked="0"/>
    </xf>
    <xf numFmtId="0" fontId="86" fillId="10" borderId="0" xfId="0" applyFont="1" applyFill="1" applyAlignment="1" applyProtection="1">
      <alignment horizontal="center" vertical="center"/>
      <protection locked="0"/>
    </xf>
    <xf numFmtId="0" fontId="23" fillId="10" borderId="146" xfId="0" applyFont="1" applyFill="1" applyBorder="1" applyAlignment="1" applyProtection="1">
      <alignment vertical="center"/>
      <protection locked="0"/>
    </xf>
    <xf numFmtId="0" fontId="91" fillId="10" borderId="0" xfId="0" applyFont="1" applyFill="1" applyAlignment="1" applyProtection="1">
      <alignment horizontal="left" vertical="center"/>
      <protection locked="0"/>
    </xf>
    <xf numFmtId="0" fontId="87" fillId="10" borderId="0" xfId="0" applyFont="1" applyFill="1" applyAlignment="1" applyProtection="1">
      <alignment horizontal="left" vertical="center" indent="1"/>
      <protection locked="0"/>
    </xf>
    <xf numFmtId="3" fontId="23" fillId="10" borderId="0" xfId="0" applyNumberFormat="1" applyFont="1" applyFill="1" applyAlignment="1" applyProtection="1">
      <alignment horizontal="left" vertical="center" indent="1"/>
      <protection locked="0"/>
    </xf>
    <xf numFmtId="3" fontId="23" fillId="10" borderId="146" xfId="0" applyNumberFormat="1" applyFont="1" applyFill="1" applyBorder="1" applyAlignment="1" applyProtection="1">
      <alignment vertical="center"/>
      <protection locked="0"/>
    </xf>
    <xf numFmtId="3" fontId="23" fillId="10" borderId="146" xfId="1" applyNumberFormat="1" applyFont="1" applyFill="1" applyBorder="1" applyAlignment="1" applyProtection="1">
      <alignment vertical="center"/>
      <protection locked="0"/>
    </xf>
    <xf numFmtId="3" fontId="23" fillId="10" borderId="119" xfId="0" applyNumberFormat="1" applyFont="1" applyFill="1" applyBorder="1" applyAlignment="1" applyProtection="1">
      <alignment horizontal="left" vertical="center" indent="1"/>
      <protection locked="0"/>
    </xf>
    <xf numFmtId="0" fontId="94" fillId="10" borderId="0" xfId="0" applyFont="1" applyFill="1" applyAlignment="1" applyProtection="1">
      <alignment horizontal="left" vertical="center"/>
      <protection locked="0"/>
    </xf>
    <xf numFmtId="3" fontId="26" fillId="10" borderId="0" xfId="0" applyNumberFormat="1" applyFont="1" applyFill="1" applyAlignment="1" applyProtection="1">
      <alignment horizontal="center" vertical="center"/>
      <protection locked="0"/>
    </xf>
    <xf numFmtId="3" fontId="26" fillId="10" borderId="0" xfId="0" applyNumberFormat="1" applyFont="1" applyFill="1" applyAlignment="1" applyProtection="1">
      <alignment vertical="center"/>
      <protection locked="0"/>
    </xf>
    <xf numFmtId="3" fontId="26" fillId="10" borderId="119" xfId="1" applyNumberFormat="1" applyFont="1" applyFill="1" applyBorder="1" applyAlignment="1" applyProtection="1">
      <alignment vertical="center"/>
    </xf>
    <xf numFmtId="3" fontId="23" fillId="10" borderId="119" xfId="1" applyNumberFormat="1" applyFont="1" applyFill="1" applyBorder="1" applyAlignment="1" applyProtection="1">
      <alignment vertical="center"/>
    </xf>
    <xf numFmtId="3" fontId="47" fillId="10" borderId="0" xfId="0" applyNumberFormat="1" applyFont="1" applyFill="1" applyAlignment="1">
      <alignment horizontal="left" vertical="center" indent="1"/>
    </xf>
    <xf numFmtId="0" fontId="47" fillId="10" borderId="0" xfId="0" applyFont="1" applyFill="1" applyAlignment="1" applyProtection="1">
      <alignment vertical="center"/>
      <protection locked="0"/>
    </xf>
    <xf numFmtId="4" fontId="47" fillId="10" borderId="0" xfId="1" applyFont="1" applyFill="1" applyBorder="1" applyAlignment="1" applyProtection="1">
      <alignment horizontal="center" vertical="center"/>
      <protection locked="0"/>
    </xf>
    <xf numFmtId="0" fontId="47" fillId="10" borderId="0" xfId="0" applyFont="1" applyFill="1" applyAlignment="1" applyProtection="1">
      <alignment horizontal="center" vertical="center"/>
      <protection locked="0"/>
    </xf>
    <xf numFmtId="4" fontId="47" fillId="10" borderId="0" xfId="0" applyNumberFormat="1" applyFont="1" applyFill="1" applyAlignment="1">
      <alignment vertical="center"/>
    </xf>
    <xf numFmtId="4" fontId="47" fillId="10" borderId="0" xfId="1" applyFont="1" applyFill="1" applyBorder="1" applyAlignment="1" applyProtection="1">
      <alignment vertical="center"/>
    </xf>
    <xf numFmtId="4" fontId="26" fillId="10" borderId="0" xfId="1" applyFont="1" applyFill="1" applyBorder="1" applyAlignment="1" applyProtection="1">
      <alignment horizontal="center" vertical="center"/>
      <protection locked="0"/>
    </xf>
    <xf numFmtId="0" fontId="23" fillId="10" borderId="0" xfId="0" quotePrefix="1" applyFont="1" applyFill="1" applyAlignment="1" applyProtection="1">
      <alignment vertical="center"/>
      <protection locked="0"/>
    </xf>
    <xf numFmtId="3" fontId="23" fillId="4" borderId="4" xfId="1" applyNumberFormat="1" applyFont="1" applyFill="1" applyBorder="1" applyAlignment="1" applyProtection="1">
      <alignment horizontal="center" vertical="center"/>
    </xf>
    <xf numFmtId="3" fontId="23" fillId="10" borderId="119" xfId="1" applyNumberFormat="1" applyFont="1" applyFill="1" applyBorder="1" applyAlignment="1" applyProtection="1">
      <alignment horizontal="center" vertical="center"/>
    </xf>
    <xf numFmtId="3" fontId="23" fillId="4" borderId="4" xfId="1" applyNumberFormat="1" applyFont="1" applyFill="1" applyBorder="1" applyAlignment="1" applyProtection="1">
      <alignment horizontal="left" vertical="center" indent="1"/>
    </xf>
    <xf numFmtId="3" fontId="23" fillId="4" borderId="7" xfId="1" applyNumberFormat="1" applyFont="1" applyFill="1" applyBorder="1" applyAlignment="1" applyProtection="1">
      <alignment vertical="center"/>
    </xf>
    <xf numFmtId="168" fontId="22" fillId="3" borderId="3" xfId="0" applyNumberFormat="1" applyFont="1" applyFill="1" applyBorder="1" applyAlignment="1">
      <alignment vertical="center"/>
    </xf>
    <xf numFmtId="168" fontId="22" fillId="3" borderId="118" xfId="0" applyNumberFormat="1" applyFont="1" applyFill="1" applyBorder="1" applyAlignment="1">
      <alignment vertical="center"/>
    </xf>
    <xf numFmtId="168" fontId="119" fillId="3" borderId="118" xfId="0" applyNumberFormat="1" applyFont="1" applyFill="1" applyBorder="1" applyAlignment="1">
      <alignment vertical="center"/>
    </xf>
    <xf numFmtId="168" fontId="88" fillId="3" borderId="118" xfId="0" applyNumberFormat="1" applyFont="1" applyFill="1" applyBorder="1" applyAlignment="1">
      <alignment vertical="center"/>
    </xf>
    <xf numFmtId="174" fontId="23" fillId="10" borderId="0" xfId="0" applyNumberFormat="1" applyFont="1" applyFill="1" applyAlignment="1">
      <alignment horizontal="right" vertical="center"/>
    </xf>
    <xf numFmtId="0" fontId="120" fillId="11" borderId="155" xfId="0" applyFont="1" applyFill="1" applyBorder="1" applyAlignment="1">
      <alignment vertical="center"/>
    </xf>
    <xf numFmtId="9" fontId="107" fillId="11" borderId="156" xfId="0" applyNumberFormat="1" applyFont="1" applyFill="1" applyBorder="1" applyAlignment="1">
      <alignment horizontal="center" vertical="center"/>
    </xf>
    <xf numFmtId="0" fontId="120" fillId="11" borderId="156" xfId="0" applyFont="1" applyFill="1" applyBorder="1" applyAlignment="1">
      <alignment vertical="center"/>
    </xf>
    <xf numFmtId="4" fontId="120" fillId="11" borderId="157" xfId="1" applyFont="1" applyFill="1" applyBorder="1" applyAlignment="1">
      <alignment vertical="distributed"/>
    </xf>
    <xf numFmtId="0" fontId="120" fillId="11" borderId="155" xfId="0" applyFont="1" applyFill="1" applyBorder="1" applyAlignment="1">
      <alignment horizontal="center" vertical="center"/>
    </xf>
    <xf numFmtId="4" fontId="107" fillId="11" borderId="149" xfId="1" applyFont="1" applyFill="1" applyBorder="1" applyAlignment="1" applyProtection="1">
      <alignment vertical="distributed"/>
    </xf>
    <xf numFmtId="0" fontId="61" fillId="10" borderId="0" xfId="0" applyFont="1" applyFill="1" applyAlignment="1">
      <alignment horizontal="right"/>
    </xf>
    <xf numFmtId="173" fontId="23" fillId="4" borderId="158" xfId="0" applyNumberFormat="1" applyFont="1" applyFill="1" applyBorder="1" applyProtection="1">
      <protection locked="0"/>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8" fillId="10" borderId="55" xfId="0" applyFont="1" applyFill="1" applyBorder="1" applyAlignment="1">
      <alignment vertical="center"/>
    </xf>
    <xf numFmtId="0" fontId="88" fillId="10" borderId="0" xfId="0" applyFont="1" applyFill="1" applyAlignment="1">
      <alignment vertical="center"/>
    </xf>
    <xf numFmtId="4" fontId="23" fillId="10" borderId="7" xfId="0" applyNumberFormat="1" applyFont="1" applyFill="1" applyBorder="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4" fontId="51" fillId="10" borderId="0" xfId="0" applyNumberFormat="1" applyFont="1" applyFill="1" applyAlignment="1" applyProtection="1">
      <alignment horizontal="center" wrapText="1"/>
      <protection locked="0"/>
    </xf>
    <xf numFmtId="0" fontId="51" fillId="10" borderId="0" xfId="0" applyFont="1" applyFill="1" applyAlignment="1" applyProtection="1">
      <alignment horizontal="center" wrapText="1"/>
      <protection locked="0"/>
    </xf>
    <xf numFmtId="168" fontId="23" fillId="10" borderId="10" xfId="0" applyNumberFormat="1" applyFont="1" applyFill="1" applyBorder="1" applyAlignment="1" applyProtection="1">
      <alignment vertical="center"/>
      <protection locked="0"/>
    </xf>
    <xf numFmtId="4" fontId="23" fillId="10" borderId="10" xfId="0" applyNumberFormat="1" applyFont="1" applyFill="1" applyBorder="1" applyAlignment="1" applyProtection="1">
      <alignment horizontal="center" vertical="center" wrapText="1"/>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8" fillId="10" borderId="0" xfId="0" applyFont="1" applyFill="1"/>
    <xf numFmtId="166" fontId="4" fillId="10" borderId="0" xfId="5" applyNumberFormat="1" applyFont="1" applyFill="1" applyProtection="1">
      <protection locked="0"/>
    </xf>
    <xf numFmtId="166" fontId="4" fillId="10" borderId="0" xfId="5" applyNumberFormat="1" applyFont="1" applyFill="1" applyAlignment="1" applyProtection="1">
      <alignment horizontal="center"/>
      <protection locked="0"/>
    </xf>
    <xf numFmtId="166" fontId="4" fillId="10" borderId="0" xfId="5" applyNumberFormat="1" applyFont="1" applyFill="1" applyAlignment="1" applyProtection="1">
      <alignment horizontal="right"/>
      <protection locked="0"/>
    </xf>
    <xf numFmtId="166" fontId="21" fillId="10" borderId="0" xfId="5" applyNumberFormat="1" applyFont="1" applyFill="1" applyAlignment="1" applyProtection="1">
      <alignment horizontal="center"/>
      <protection locked="0"/>
    </xf>
    <xf numFmtId="3" fontId="4" fillId="10" borderId="0" xfId="5" applyNumberFormat="1" applyFont="1" applyFill="1" applyProtection="1">
      <protection locked="0"/>
    </xf>
    <xf numFmtId="166" fontId="41"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3" fontId="22" fillId="10" borderId="0" xfId="7" applyNumberFormat="1" applyFont="1" applyFill="1" applyProtection="1">
      <protection locked="0"/>
    </xf>
    <xf numFmtId="3" fontId="23" fillId="10" borderId="0" xfId="5" applyNumberFormat="1" applyFont="1" applyFill="1" applyAlignment="1" applyProtection="1">
      <alignment horizontal="right"/>
      <protection locked="0"/>
    </xf>
    <xf numFmtId="166" fontId="15" fillId="10" borderId="0" xfId="5" applyNumberFormat="1" applyFont="1" applyFill="1" applyProtection="1">
      <protection locked="0"/>
    </xf>
    <xf numFmtId="166" fontId="22" fillId="10" borderId="0" xfId="5" applyNumberFormat="1" applyFont="1" applyFill="1" applyProtection="1">
      <protection locked="0"/>
    </xf>
    <xf numFmtId="166" fontId="23" fillId="10" borderId="0" xfId="5" applyNumberFormat="1" applyFont="1" applyFill="1" applyAlignment="1" applyProtection="1">
      <alignment horizontal="left" indent="1"/>
      <protection locked="0"/>
    </xf>
    <xf numFmtId="172" fontId="23" fillId="10" borderId="0" xfId="5" applyNumberFormat="1" applyFont="1" applyFill="1"/>
    <xf numFmtId="3" fontId="23" fillId="10" borderId="0" xfId="5" applyNumberFormat="1" applyFont="1" applyFill="1"/>
    <xf numFmtId="166" fontId="23" fillId="10" borderId="0" xfId="5" applyNumberFormat="1" applyFont="1" applyFill="1"/>
    <xf numFmtId="3" fontId="23" fillId="10" borderId="0" xfId="5" applyNumberFormat="1" applyFont="1" applyFill="1" applyAlignment="1">
      <alignment horizontal="right" vertical="center" wrapText="1"/>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7" fillId="10" borderId="0" xfId="5" applyNumberFormat="1" applyFont="1" applyFill="1" applyProtection="1">
      <protection locked="0"/>
    </xf>
    <xf numFmtId="166" fontId="78" fillId="10" borderId="0" xfId="5" applyNumberFormat="1" applyFont="1" applyFill="1" applyProtection="1">
      <protection locked="0"/>
    </xf>
    <xf numFmtId="166" fontId="72" fillId="10" borderId="0" xfId="5" applyNumberFormat="1" applyFont="1" applyFill="1" applyProtection="1">
      <protection locked="0"/>
    </xf>
    <xf numFmtId="172" fontId="23" fillId="10" borderId="0" xfId="5" applyNumberFormat="1" applyFont="1" applyFill="1" applyProtection="1">
      <protection locked="0"/>
    </xf>
    <xf numFmtId="1" fontId="23" fillId="10" borderId="0" xfId="5" applyNumberFormat="1" applyFont="1" applyFill="1" applyProtection="1">
      <protection locked="0"/>
    </xf>
    <xf numFmtId="0" fontId="27" fillId="10" borderId="16" xfId="0" applyFont="1" applyFill="1" applyBorder="1" applyAlignment="1" applyProtection="1">
      <alignment horizontal="center" vertical="center"/>
      <protection locked="0"/>
    </xf>
    <xf numFmtId="4" fontId="22" fillId="10" borderId="0" xfId="0" applyNumberFormat="1" applyFont="1" applyFill="1" applyAlignment="1" applyProtection="1">
      <alignment horizontal="right" vertical="center"/>
      <protection locked="0"/>
    </xf>
    <xf numFmtId="166" fontId="26" fillId="10" borderId="0" xfId="5" applyNumberFormat="1" applyFont="1" applyFill="1" applyProtection="1">
      <protection locked="0"/>
    </xf>
    <xf numFmtId="3" fontId="23" fillId="10" borderId="0" xfId="5" applyNumberFormat="1" applyFont="1" applyFill="1" applyAlignment="1" applyProtection="1">
      <alignment horizontal="left" indent="1"/>
      <protection locked="0"/>
    </xf>
    <xf numFmtId="3" fontId="22" fillId="3" borderId="3" xfId="0" applyNumberFormat="1" applyFont="1" applyFill="1" applyBorder="1" applyAlignment="1">
      <alignment horizontal="right" vertical="center"/>
    </xf>
    <xf numFmtId="166" fontId="25" fillId="10" borderId="0" xfId="5" applyNumberFormat="1" applyFont="1" applyFill="1" applyProtection="1">
      <protection locked="0"/>
    </xf>
    <xf numFmtId="166" fontId="29" fillId="10" borderId="0" xfId="5" applyNumberFormat="1" applyFont="1" applyFill="1" applyAlignment="1" applyProtection="1">
      <alignment horizontal="center"/>
      <protection locked="0"/>
    </xf>
    <xf numFmtId="166" fontId="25" fillId="10" borderId="0" xfId="5" applyNumberFormat="1" applyFont="1" applyFill="1" applyAlignment="1" applyProtection="1">
      <alignment horizontal="right"/>
      <protection locked="0"/>
    </xf>
    <xf numFmtId="3" fontId="25" fillId="10" borderId="0" xfId="5" applyNumberFormat="1" applyFont="1" applyFill="1" applyProtection="1">
      <protection locked="0"/>
    </xf>
    <xf numFmtId="170" fontId="23" fillId="10" borderId="0" xfId="5" applyNumberFormat="1" applyFont="1" applyFill="1"/>
    <xf numFmtId="170" fontId="23" fillId="4" borderId="0" xfId="5" applyNumberFormat="1" applyFont="1" applyFill="1" applyProtection="1">
      <protection locked="0"/>
    </xf>
    <xf numFmtId="3" fontId="23" fillId="4" borderId="159" xfId="5" applyNumberFormat="1" applyFont="1" applyFill="1" applyBorder="1" applyProtection="1">
      <protection locked="0"/>
    </xf>
    <xf numFmtId="166" fontId="23" fillId="10" borderId="21" xfId="5" applyNumberFormat="1" applyFont="1" applyFill="1" applyBorder="1"/>
    <xf numFmtId="166" fontId="23" fillId="10" borderId="15" xfId="5" applyNumberFormat="1" applyFont="1" applyFill="1" applyBorder="1"/>
    <xf numFmtId="166" fontId="23" fillId="10" borderId="0" xfId="5" applyNumberFormat="1" applyFont="1" applyFill="1" applyAlignment="1">
      <alignment horizontal="left" indent="1"/>
    </xf>
    <xf numFmtId="166" fontId="23" fillId="10" borderId="22" xfId="5" applyNumberFormat="1" applyFont="1" applyFill="1" applyBorder="1"/>
    <xf numFmtId="4" fontId="22" fillId="14" borderId="3" xfId="1" applyFont="1" applyFill="1" applyBorder="1" applyAlignment="1" applyProtection="1">
      <alignment vertical="center"/>
      <protection locked="0"/>
    </xf>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5" fontId="61" fillId="10" borderId="84" xfId="0" applyNumberFormat="1" applyFont="1" applyFill="1" applyBorder="1" applyAlignment="1">
      <alignment horizontal="right" vertical="center"/>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applyFont="1" applyFill="1" applyAlignment="1">
      <alignment horizontal="right" vertical="center"/>
    </xf>
    <xf numFmtId="0" fontId="25" fillId="10" borderId="0" xfId="0" quotePrefix="1" applyFont="1" applyFill="1" applyAlignment="1">
      <alignment horizontal="right" vertical="center"/>
    </xf>
    <xf numFmtId="2" fontId="25" fillId="10" borderId="85" xfId="0" applyNumberFormat="1" applyFont="1" applyFill="1" applyBorder="1" applyAlignment="1" applyProtection="1">
      <alignment horizontal="right" vertical="center"/>
      <protection locked="0"/>
    </xf>
    <xf numFmtId="0" fontId="25" fillId="10" borderId="0" xfId="0" applyFont="1" applyFill="1" applyAlignment="1" applyProtection="1">
      <alignment horizontal="right" vertical="center" wrapText="1"/>
      <protection locked="0"/>
    </xf>
    <xf numFmtId="0" fontId="25" fillId="10" borderId="0" xfId="0" applyFont="1" applyFill="1" applyAlignment="1" applyProtection="1">
      <alignment horizontal="right" vertical="center"/>
      <protection locked="0"/>
    </xf>
    <xf numFmtId="0" fontId="25" fillId="10" borderId="0" xfId="0" quotePrefix="1" applyFont="1" applyFill="1" applyAlignment="1" applyProtection="1">
      <alignment horizontal="right" vertical="center"/>
      <protection locked="0"/>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0" fontId="9" fillId="10" borderId="86" xfId="0" applyFont="1" applyFill="1" applyBorder="1" applyAlignment="1" applyProtection="1">
      <alignment vertical="center"/>
      <protection locked="0"/>
    </xf>
    <xf numFmtId="0" fontId="13" fillId="10" borderId="85" xfId="0" applyFont="1" applyFill="1" applyBorder="1" applyAlignment="1" applyProtection="1">
      <alignment vertical="center"/>
      <protection locked="0"/>
    </xf>
    <xf numFmtId="10" fontId="23" fillId="10" borderId="86" xfId="0" applyNumberFormat="1" applyFont="1" applyFill="1" applyBorder="1" applyAlignment="1" applyProtection="1">
      <alignment vertical="center"/>
      <protection locked="0"/>
    </xf>
    <xf numFmtId="1" fontId="39" fillId="11" borderId="86" xfId="0" applyNumberFormat="1" applyFont="1" applyFill="1" applyBorder="1" applyAlignment="1">
      <alignment horizontal="center" vertical="center" wrapText="1" shrinkToFit="1"/>
    </xf>
    <xf numFmtId="0" fontId="9" fillId="10" borderId="86" xfId="0" applyFont="1" applyFill="1" applyBorder="1" applyAlignment="1">
      <alignment vertical="center"/>
    </xf>
    <xf numFmtId="3" fontId="23" fillId="11" borderId="86" xfId="0" applyNumberFormat="1" applyFont="1" applyFill="1" applyBorder="1" applyAlignment="1">
      <alignment vertical="center"/>
    </xf>
    <xf numFmtId="3" fontId="23" fillId="11" borderId="160" xfId="0" applyNumberFormat="1" applyFont="1" applyFill="1" applyBorder="1" applyAlignment="1">
      <alignment vertical="center"/>
    </xf>
    <xf numFmtId="174" fontId="117" fillId="0" borderId="64" xfId="0" applyNumberFormat="1" applyFont="1" applyBorder="1" applyAlignment="1" applyProtection="1">
      <alignment vertical="center"/>
      <protection locked="0"/>
    </xf>
    <xf numFmtId="174" fontId="23" fillId="4" borderId="161" xfId="0" applyNumberFormat="1" applyFont="1" applyFill="1" applyBorder="1" applyAlignment="1" applyProtection="1">
      <alignment vertical="center"/>
      <protection locked="0"/>
    </xf>
    <xf numFmtId="174" fontId="23" fillId="10" borderId="0" xfId="0" applyNumberFormat="1" applyFont="1" applyFill="1" applyAlignment="1">
      <alignment vertical="distributed"/>
    </xf>
    <xf numFmtId="175" fontId="61" fillId="10" borderId="0" xfId="0" applyNumberFormat="1" applyFont="1" applyFill="1" applyAlignment="1">
      <alignment horizontal="right" vertical="center"/>
    </xf>
    <xf numFmtId="175" fontId="61" fillId="10" borderId="82" xfId="0" applyNumberFormat="1" applyFont="1" applyFill="1" applyBorder="1" applyAlignment="1">
      <alignment horizontal="right" vertical="center"/>
    </xf>
    <xf numFmtId="3" fontId="22" fillId="3" borderId="87" xfId="0" applyNumberFormat="1" applyFont="1" applyFill="1" applyBorder="1" applyAlignment="1">
      <alignment vertical="center"/>
    </xf>
    <xf numFmtId="176" fontId="22" fillId="3" borderId="2" xfId="0" applyNumberFormat="1" applyFont="1" applyFill="1" applyBorder="1" applyAlignment="1">
      <alignment vertical="center"/>
    </xf>
    <xf numFmtId="1" fontId="25" fillId="11" borderId="86" xfId="0" applyNumberFormat="1" applyFont="1" applyFill="1" applyBorder="1" applyAlignment="1">
      <alignment horizontal="center" vertical="center" wrapText="1" shrinkToFit="1"/>
    </xf>
    <xf numFmtId="0" fontId="22" fillId="10" borderId="0" xfId="0" applyFont="1" applyFill="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4" fontId="23" fillId="10" borderId="0" xfId="1" applyFont="1" applyFill="1" applyAlignment="1" applyProtection="1">
      <alignment vertical="center"/>
      <protection locked="0"/>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100" fillId="10" borderId="0" xfId="0" quotePrefix="1" applyFont="1" applyFill="1" applyAlignment="1">
      <alignment horizontal="left" vertical="center"/>
    </xf>
    <xf numFmtId="166" fontId="22" fillId="10" borderId="127" xfId="3" applyNumberFormat="1" applyFont="1" applyFill="1" applyBorder="1" applyAlignment="1">
      <alignment vertical="center"/>
    </xf>
    <xf numFmtId="166" fontId="23" fillId="10" borderId="120" xfId="3" applyNumberFormat="1" applyFont="1" applyFill="1" applyBorder="1" applyAlignment="1">
      <alignment vertical="center"/>
    </xf>
    <xf numFmtId="166" fontId="23" fillId="10" borderId="122" xfId="3" applyNumberFormat="1" applyFont="1" applyFill="1" applyBorder="1" applyAlignment="1">
      <alignment vertical="center"/>
    </xf>
    <xf numFmtId="166" fontId="22" fillId="10" borderId="124" xfId="3" applyNumberFormat="1" applyFont="1" applyFill="1" applyBorder="1" applyAlignment="1">
      <alignment vertical="center"/>
    </xf>
    <xf numFmtId="166" fontId="22" fillId="10" borderId="6" xfId="3" applyNumberFormat="1" applyFont="1" applyFill="1" applyBorder="1" applyProtection="1">
      <protection locked="0"/>
    </xf>
    <xf numFmtId="3" fontId="23" fillId="9" borderId="29" xfId="3" applyNumberFormat="1" applyFont="1" applyFill="1" applyBorder="1" applyAlignment="1">
      <alignment vertical="center"/>
    </xf>
    <xf numFmtId="3" fontId="23" fillId="9" borderId="29" xfId="3" applyNumberFormat="1" applyFont="1" applyFill="1" applyBorder="1" applyAlignment="1" applyProtection="1">
      <alignment vertical="center"/>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68" fontId="78" fillId="10" borderId="0" xfId="7" applyNumberFormat="1" applyFont="1" applyFill="1" applyAlignment="1">
      <alignment horizontal="left"/>
    </xf>
    <xf numFmtId="10" fontId="32" fillId="10" borderId="1" xfId="2" applyNumberFormat="1" applyFont="1" applyFill="1" applyBorder="1" applyAlignment="1" applyProtection="1">
      <alignment horizontal="center" vertical="center" wrapText="1"/>
    </xf>
    <xf numFmtId="10" fontId="26" fillId="10" borderId="5" xfId="2" applyNumberFormat="1" applyFont="1" applyFill="1" applyBorder="1" applyAlignment="1" applyProtection="1">
      <alignment horizontal="right"/>
    </xf>
    <xf numFmtId="3" fontId="121" fillId="10" borderId="0" xfId="0" applyNumberFormat="1" applyFont="1" applyFill="1" applyAlignment="1">
      <alignment vertical="center"/>
    </xf>
    <xf numFmtId="1" fontId="25" fillId="15" borderId="0" xfId="0" applyNumberFormat="1" applyFont="1" applyFill="1" applyAlignment="1">
      <alignment horizontal="center" vertical="center" wrapText="1" shrinkToFit="1"/>
    </xf>
    <xf numFmtId="1" fontId="122" fillId="17" borderId="0" xfId="0" applyNumberFormat="1" applyFont="1" applyFill="1" applyAlignment="1">
      <alignment horizontal="center" vertical="center" wrapText="1" shrinkToFit="1"/>
    </xf>
    <xf numFmtId="3" fontId="23" fillId="17" borderId="0" xfId="0" applyNumberFormat="1" applyFont="1" applyFill="1" applyAlignment="1">
      <alignment vertical="center"/>
    </xf>
    <xf numFmtId="176" fontId="23" fillId="17" borderId="0" xfId="0" applyNumberFormat="1" applyFont="1" applyFill="1" applyAlignment="1">
      <alignment vertical="distributed"/>
    </xf>
    <xf numFmtId="3" fontId="23" fillId="15" borderId="0" xfId="0" applyNumberFormat="1" applyFont="1" applyFill="1" applyAlignment="1">
      <alignment vertical="center"/>
    </xf>
    <xf numFmtId="1" fontId="25" fillId="16" borderId="0" xfId="0" applyNumberFormat="1" applyFont="1" applyFill="1" applyAlignment="1">
      <alignment horizontal="center" vertical="center" wrapText="1" shrinkToFit="1"/>
    </xf>
    <xf numFmtId="3" fontId="23" fillId="16" borderId="0" xfId="0" applyNumberFormat="1" applyFont="1" applyFill="1" applyAlignment="1">
      <alignment vertical="center"/>
    </xf>
    <xf numFmtId="3" fontId="23" fillId="11" borderId="118" xfId="0" applyNumberFormat="1" applyFont="1" applyFill="1" applyBorder="1" applyAlignment="1">
      <alignment vertical="center"/>
    </xf>
    <xf numFmtId="3" fontId="22" fillId="11" borderId="118" xfId="0" applyNumberFormat="1" applyFont="1" applyFill="1" applyBorder="1" applyAlignment="1">
      <alignment vertical="center"/>
    </xf>
    <xf numFmtId="3" fontId="23" fillId="10" borderId="0" xfId="1"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8" fontId="22" fillId="3" borderId="2" xfId="0" applyNumberFormat="1" applyFont="1" applyFill="1" applyBorder="1" applyAlignment="1">
      <alignment vertical="center"/>
    </xf>
    <xf numFmtId="178" fontId="23" fillId="10" borderId="0" xfId="0" applyNumberFormat="1" applyFont="1" applyFill="1" applyAlignment="1">
      <alignment vertical="center"/>
    </xf>
    <xf numFmtId="166" fontId="22" fillId="10" borderId="42" xfId="3" applyNumberFormat="1" applyFont="1" applyFill="1" applyBorder="1"/>
    <xf numFmtId="3" fontId="23" fillId="10" borderId="28" xfId="3" applyNumberFormat="1" applyFont="1" applyFill="1" applyBorder="1"/>
    <xf numFmtId="3" fontId="23" fillId="10" borderId="43" xfId="3" applyNumberFormat="1" applyFont="1" applyFill="1" applyBorder="1" applyProtection="1">
      <protection locked="0"/>
    </xf>
    <xf numFmtId="9" fontId="22" fillId="10" borderId="0" xfId="2" applyFont="1" applyFill="1" applyAlignment="1">
      <alignment vertical="center"/>
    </xf>
    <xf numFmtId="169" fontId="23" fillId="10" borderId="4" xfId="2" applyNumberFormat="1" applyFont="1" applyFill="1" applyBorder="1" applyAlignment="1" applyProtection="1">
      <alignment vertical="center"/>
    </xf>
    <xf numFmtId="3" fontId="23" fillId="10" borderId="108" xfId="0" applyNumberFormat="1" applyFont="1" applyFill="1" applyBorder="1" applyAlignment="1">
      <alignment vertical="center"/>
    </xf>
    <xf numFmtId="3" fontId="22" fillId="3" borderId="98" xfId="0" applyNumberFormat="1" applyFont="1" applyFill="1" applyBorder="1" applyAlignment="1">
      <alignment vertical="center"/>
    </xf>
    <xf numFmtId="3" fontId="22" fillId="3" borderId="109" xfId="0" applyNumberFormat="1" applyFont="1" applyFill="1" applyBorder="1" applyAlignment="1">
      <alignment vertical="center"/>
    </xf>
    <xf numFmtId="3" fontId="69" fillId="10" borderId="106" xfId="0" applyNumberFormat="1" applyFont="1" applyFill="1" applyBorder="1" applyAlignment="1">
      <alignment vertical="center"/>
    </xf>
    <xf numFmtId="3" fontId="69" fillId="10" borderId="96" xfId="0" applyNumberFormat="1" applyFont="1" applyFill="1" applyBorder="1" applyAlignment="1">
      <alignment vertical="center"/>
    </xf>
    <xf numFmtId="3" fontId="69" fillId="10" borderId="96" xfId="0" applyNumberFormat="1" applyFont="1" applyFill="1" applyBorder="1" applyAlignment="1">
      <alignment horizontal="center" vertical="center"/>
    </xf>
    <xf numFmtId="3" fontId="69" fillId="10" borderId="107" xfId="0" applyNumberFormat="1" applyFont="1" applyFill="1" applyBorder="1" applyAlignment="1">
      <alignment horizontal="center" vertical="center"/>
    </xf>
    <xf numFmtId="3" fontId="22" fillId="10" borderId="0" xfId="0" applyNumberFormat="1" applyFont="1" applyFill="1" applyAlignment="1">
      <alignment horizontal="right" vertical="center"/>
    </xf>
    <xf numFmtId="3" fontId="23" fillId="9" borderId="1" xfId="3" applyNumberFormat="1" applyFont="1" applyFill="1" applyBorder="1" applyAlignment="1">
      <alignment vertical="center"/>
    </xf>
    <xf numFmtId="0" fontId="23" fillId="10" borderId="4" xfId="0" quotePrefix="1" applyFont="1" applyFill="1" applyBorder="1" applyAlignment="1" applyProtection="1">
      <alignment horizontal="left" vertical="distributed"/>
      <protection locked="0"/>
    </xf>
    <xf numFmtId="16" fontId="23" fillId="10" borderId="4" xfId="0" quotePrefix="1" applyNumberFormat="1" applyFont="1" applyFill="1" applyBorder="1" applyAlignment="1" applyProtection="1">
      <alignment horizontal="left" vertical="center"/>
      <protection locked="0"/>
    </xf>
    <xf numFmtId="169" fontId="26" fillId="10" borderId="0" xfId="2" applyNumberFormat="1" applyFont="1" applyFill="1" applyAlignment="1">
      <alignment vertical="center"/>
    </xf>
    <xf numFmtId="3" fontId="23" fillId="10" borderId="142" xfId="0" applyNumberFormat="1" applyFont="1" applyFill="1" applyBorder="1" applyAlignment="1">
      <alignment vertical="center"/>
    </xf>
    <xf numFmtId="3" fontId="23" fillId="10" borderId="132" xfId="0" applyNumberFormat="1" applyFont="1" applyFill="1" applyBorder="1" applyAlignment="1">
      <alignment vertical="center"/>
    </xf>
    <xf numFmtId="3" fontId="23" fillId="10" borderId="143" xfId="0" applyNumberFormat="1" applyFont="1" applyFill="1" applyBorder="1" applyAlignment="1">
      <alignment horizontal="right" vertical="center"/>
    </xf>
    <xf numFmtId="3" fontId="23" fillId="10" borderId="142"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9" fillId="10" borderId="0" xfId="0" applyNumberFormat="1" applyFont="1" applyFill="1" applyAlignment="1" applyProtection="1">
      <alignment horizontal="left" vertical="center" indent="1"/>
      <protection locked="0"/>
    </xf>
    <xf numFmtId="3" fontId="23" fillId="11" borderId="142" xfId="0" applyNumberFormat="1" applyFont="1" applyFill="1" applyBorder="1" applyAlignment="1">
      <alignment vertical="center"/>
    </xf>
    <xf numFmtId="3" fontId="23" fillId="11" borderId="132" xfId="0" applyNumberFormat="1" applyFont="1" applyFill="1" applyBorder="1" applyAlignment="1">
      <alignment vertical="center"/>
    </xf>
    <xf numFmtId="3" fontId="23" fillId="11" borderId="135"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3" fontId="23" fillId="3" borderId="3" xfId="0" applyNumberFormat="1" applyFont="1" applyFill="1" applyBorder="1" applyAlignment="1">
      <alignment horizontal="right" vertical="center"/>
    </xf>
    <xf numFmtId="4" fontId="23" fillId="3" borderId="3" xfId="1" applyFont="1" applyFill="1" applyBorder="1" applyAlignment="1" applyProtection="1">
      <alignment vertical="center"/>
      <protection locked="0"/>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64" xfId="0" applyNumberFormat="1" applyFont="1" applyFill="1" applyBorder="1" applyAlignment="1" applyProtection="1">
      <alignment horizontal="right" vertical="center"/>
      <protection locked="0"/>
    </xf>
    <xf numFmtId="0" fontId="124" fillId="0" borderId="0" xfId="0" applyFont="1" applyAlignment="1">
      <alignment horizontal="justify" vertical="center"/>
    </xf>
    <xf numFmtId="0" fontId="126" fillId="0" borderId="0" xfId="0" applyFont="1" applyAlignment="1">
      <alignment horizontal="justify" vertical="center" wrapText="1"/>
    </xf>
    <xf numFmtId="0" fontId="126" fillId="0" borderId="0" xfId="0" applyFont="1" applyAlignment="1">
      <alignment vertical="top" wrapText="1"/>
    </xf>
    <xf numFmtId="0" fontId="127" fillId="0" borderId="0" xfId="0" applyFont="1" applyAlignment="1">
      <alignment horizontal="justify" vertical="center"/>
    </xf>
    <xf numFmtId="0" fontId="126" fillId="0" borderId="0" xfId="0" applyFont="1" applyAlignment="1">
      <alignment horizontal="justify" vertical="center"/>
    </xf>
    <xf numFmtId="0" fontId="130" fillId="0" borderId="0" xfId="0" applyFont="1" applyAlignment="1">
      <alignment horizontal="justify" vertical="center"/>
    </xf>
    <xf numFmtId="0" fontId="125" fillId="0" borderId="0" xfId="0" applyFont="1" applyAlignment="1">
      <alignment horizontal="justify" vertical="center"/>
    </xf>
    <xf numFmtId="0" fontId="131" fillId="0" borderId="0" xfId="0" applyFont="1" applyAlignment="1">
      <alignment horizontal="justify" vertical="center"/>
    </xf>
    <xf numFmtId="0" fontId="126" fillId="0" borderId="0" xfId="0" applyFont="1" applyAlignment="1">
      <alignment horizontal="justify"/>
    </xf>
    <xf numFmtId="0" fontId="133" fillId="0" borderId="0" xfId="13" applyFont="1" applyAlignment="1">
      <alignment vertical="center"/>
    </xf>
    <xf numFmtId="0" fontId="124"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3" fontId="23" fillId="10" borderId="29" xfId="3" applyNumberFormat="1" applyFont="1" applyFill="1" applyBorder="1" applyAlignment="1">
      <alignment vertical="center"/>
    </xf>
    <xf numFmtId="10" fontId="27" fillId="3" borderId="36" xfId="0" applyNumberFormat="1" applyFont="1" applyFill="1" applyBorder="1" applyAlignment="1">
      <alignment vertical="center"/>
    </xf>
    <xf numFmtId="10" fontId="23" fillId="10" borderId="96" xfId="0" applyNumberFormat="1" applyFont="1" applyFill="1" applyBorder="1" applyAlignment="1" applyProtection="1">
      <alignment vertical="center"/>
      <protection locked="0"/>
    </xf>
    <xf numFmtId="3" fontId="23" fillId="10" borderId="107" xfId="1" applyNumberFormat="1" applyFont="1" applyFill="1" applyBorder="1" applyAlignment="1">
      <alignment vertical="center"/>
    </xf>
    <xf numFmtId="3" fontId="23" fillId="11" borderId="165" xfId="0" applyNumberFormat="1" applyFont="1" applyFill="1" applyBorder="1" applyAlignment="1">
      <alignment vertical="center"/>
    </xf>
    <xf numFmtId="1" fontId="22" fillId="10" borderId="0" xfId="0" applyNumberFormat="1" applyFont="1" applyFill="1" applyAlignment="1" applyProtection="1">
      <alignment horizontal="right" vertical="center" wrapText="1" shrinkToFit="1"/>
      <protection locked="0"/>
    </xf>
    <xf numFmtId="3" fontId="134" fillId="10" borderId="0" xfId="0" applyNumberFormat="1" applyFont="1" applyFill="1" applyAlignment="1">
      <alignment horizontal="center" vertical="center"/>
    </xf>
    <xf numFmtId="0" fontId="135"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1" fontId="23" fillId="9" borderId="38" xfId="0" applyNumberFormat="1" applyFont="1" applyFill="1" applyBorder="1" applyAlignment="1" applyProtection="1">
      <alignment horizontal="center"/>
      <protection locked="0"/>
    </xf>
    <xf numFmtId="171" fontId="23" fillId="9" borderId="72" xfId="0" applyNumberFormat="1" applyFont="1" applyFill="1" applyBorder="1" applyAlignment="1" applyProtection="1">
      <alignment horizontal="center"/>
      <protection locked="0"/>
    </xf>
    <xf numFmtId="1" fontId="22" fillId="9" borderId="111" xfId="0" applyNumberFormat="1" applyFont="1" applyFill="1" applyBorder="1" applyAlignment="1" applyProtection="1">
      <alignment horizontal="left" vertical="center"/>
      <protection locked="0"/>
    </xf>
    <xf numFmtId="1" fontId="22" fillId="9" borderId="19" xfId="0" applyNumberFormat="1" applyFont="1" applyFill="1" applyBorder="1" applyAlignment="1" applyProtection="1">
      <alignment horizontal="left" vertical="center"/>
      <protection locked="0"/>
    </xf>
    <xf numFmtId="1" fontId="22" fillId="9" borderId="112" xfId="0" applyNumberFormat="1" applyFont="1" applyFill="1" applyBorder="1" applyAlignment="1" applyProtection="1">
      <alignment horizontal="left" vertical="center"/>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17" xfId="0" applyNumberFormat="1" applyFont="1" applyFill="1" applyBorder="1" applyAlignment="1" applyProtection="1">
      <alignment horizontal="left" vertical="center"/>
      <protection locked="0"/>
    </xf>
    <xf numFmtId="1" fontId="22" fillId="9" borderId="113" xfId="0" applyNumberFormat="1" applyFont="1" applyFill="1" applyBorder="1" applyAlignment="1" applyProtection="1">
      <alignment horizontal="left" vertical="center"/>
      <protection locked="0"/>
    </xf>
    <xf numFmtId="1" fontId="22" fillId="9" borderId="20" xfId="0" applyNumberFormat="1" applyFont="1" applyFill="1" applyBorder="1" applyAlignment="1" applyProtection="1">
      <alignment horizontal="left" vertical="center"/>
      <protection locked="0"/>
    </xf>
    <xf numFmtId="1" fontId="22" fillId="9" borderId="114" xfId="0" applyNumberFormat="1" applyFont="1" applyFill="1" applyBorder="1" applyAlignment="1" applyProtection="1">
      <alignment horizontal="left" vertical="center"/>
      <protection locked="0"/>
    </xf>
    <xf numFmtId="171" fontId="23" fillId="9" borderId="25" xfId="0" applyNumberFormat="1" applyFont="1" applyFill="1" applyBorder="1" applyAlignment="1" applyProtection="1">
      <alignment horizontal="center" vertical="center"/>
      <protection locked="0"/>
    </xf>
    <xf numFmtId="171" fontId="23" fillId="9" borderId="17" xfId="0" applyNumberFormat="1" applyFont="1" applyFill="1" applyBorder="1" applyAlignment="1" applyProtection="1">
      <alignment horizontal="center" vertical="center"/>
      <protection locked="0"/>
    </xf>
    <xf numFmtId="171" fontId="23" fillId="9" borderId="68" xfId="0" applyNumberFormat="1" applyFont="1" applyFill="1" applyBorder="1" applyAlignment="1" applyProtection="1">
      <alignment horizontal="center" vertical="center"/>
      <protection locked="0"/>
    </xf>
    <xf numFmtId="171" fontId="23" fillId="9" borderId="70" xfId="0" applyNumberFormat="1" applyFont="1" applyFill="1" applyBorder="1" applyAlignment="1" applyProtection="1">
      <alignment horizontal="center" vertical="center"/>
      <protection locked="0"/>
    </xf>
    <xf numFmtId="0" fontId="22" fillId="10" borderId="73" xfId="0" applyFont="1" applyFill="1" applyBorder="1" applyAlignment="1" applyProtection="1">
      <alignment horizontal="center" vertical="center"/>
      <protection hidden="1"/>
    </xf>
    <xf numFmtId="0" fontId="22" fillId="10" borderId="74" xfId="0" applyFont="1" applyFill="1" applyBorder="1" applyAlignment="1" applyProtection="1">
      <alignment horizontal="center" vertical="center"/>
      <protection hidden="1"/>
    </xf>
    <xf numFmtId="1" fontId="22" fillId="9" borderId="25" xfId="0" applyNumberFormat="1" applyFont="1" applyFill="1" applyBorder="1" applyAlignment="1" applyProtection="1">
      <alignment vertical="center"/>
      <protection locked="0"/>
    </xf>
    <xf numFmtId="1" fontId="22" fillId="9" borderId="4" xfId="0" applyNumberFormat="1" applyFont="1" applyFill="1" applyBorder="1" applyAlignment="1" applyProtection="1">
      <alignment vertical="center"/>
      <protection locked="0"/>
    </xf>
    <xf numFmtId="1" fontId="22" fillId="9" borderId="73" xfId="0" applyNumberFormat="1" applyFont="1" applyFill="1" applyBorder="1" applyAlignment="1" applyProtection="1">
      <alignment horizontal="left" vertical="center"/>
      <protection locked="0"/>
    </xf>
    <xf numFmtId="1" fontId="22" fillId="9" borderId="131"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5" fillId="10" borderId="166" xfId="0" applyNumberFormat="1" applyFont="1" applyFill="1" applyBorder="1" applyAlignment="1" applyProtection="1">
      <alignment horizontal="center" vertical="center" wrapText="1" shrinkToFit="1"/>
      <protection locked="0"/>
    </xf>
    <xf numFmtId="0" fontId="123" fillId="10" borderId="162" xfId="0" applyFont="1" applyFill="1" applyBorder="1" applyAlignment="1" applyProtection="1">
      <alignment horizontal="center"/>
      <protection locked="0"/>
    </xf>
    <xf numFmtId="0" fontId="123" fillId="10" borderId="163" xfId="0" applyFont="1" applyFill="1" applyBorder="1" applyAlignment="1" applyProtection="1">
      <alignment horizontal="center"/>
      <protection locked="0"/>
    </xf>
    <xf numFmtId="0" fontId="123" fillId="10" borderId="164" xfId="0" applyFont="1" applyFill="1" applyBorder="1" applyAlignment="1" applyProtection="1">
      <alignment horizontal="center"/>
      <protection locked="0"/>
    </xf>
    <xf numFmtId="0" fontId="61" fillId="10" borderId="82" xfId="0" applyFont="1" applyFill="1" applyBorder="1" applyAlignment="1">
      <alignment horizontal="center" vertical="center"/>
    </xf>
    <xf numFmtId="0" fontId="61"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9" fontId="26" fillId="10" borderId="115" xfId="2" applyFont="1" applyFill="1" applyBorder="1" applyAlignment="1" applyProtection="1">
      <alignment horizontal="center" vertical="center"/>
    </xf>
    <xf numFmtId="9" fontId="26" fillId="10" borderId="116" xfId="2" applyFont="1" applyFill="1" applyBorder="1" applyAlignment="1" applyProtection="1">
      <alignment horizontal="center" vertical="center"/>
    </xf>
    <xf numFmtId="10" fontId="39" fillId="10" borderId="33" xfId="2" applyNumberFormat="1" applyFont="1" applyFill="1" applyBorder="1" applyAlignment="1" applyProtection="1">
      <alignment horizontal="center" vertical="center"/>
    </xf>
    <xf numFmtId="10" fontId="39"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4" fontId="23" fillId="4" borderId="42" xfId="0" applyNumberFormat="1" applyFont="1" applyFill="1" applyBorder="1" applyAlignment="1" applyProtection="1">
      <alignment horizontal="right" vertical="distributed"/>
      <protection locked="0"/>
    </xf>
    <xf numFmtId="4" fontId="23" fillId="4" borderId="32" xfId="0" applyNumberFormat="1" applyFont="1" applyFill="1" applyBorder="1" applyAlignment="1" applyProtection="1">
      <alignment horizontal="right" vertical="distributed"/>
      <protection locked="0"/>
    </xf>
    <xf numFmtId="4" fontId="23" fillId="4" borderId="10" xfId="0" applyNumberFormat="1" applyFont="1" applyFill="1" applyBorder="1" applyAlignment="1" applyProtection="1">
      <alignment horizontal="right" vertical="distributed"/>
      <protection locked="0"/>
    </xf>
    <xf numFmtId="4" fontId="23" fillId="4" borderId="9" xfId="0" applyNumberFormat="1" applyFont="1" applyFill="1" applyBorder="1" applyAlignment="1" applyProtection="1">
      <alignment horizontal="right" vertical="distributed"/>
      <protection locked="0"/>
    </xf>
    <xf numFmtId="174" fontId="77" fillId="12" borderId="63" xfId="0" applyNumberFormat="1" applyFont="1" applyFill="1" applyBorder="1" applyAlignment="1" applyProtection="1">
      <alignment vertical="distributed"/>
      <protection locked="0"/>
    </xf>
    <xf numFmtId="174" fontId="77" fillId="12" borderId="52" xfId="0" applyNumberFormat="1" applyFont="1" applyFill="1" applyBorder="1" applyAlignment="1" applyProtection="1">
      <alignment vertical="distributed"/>
      <protection locked="0"/>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174" fontId="117" fillId="0" borderId="151" xfId="0" applyNumberFormat="1" applyFont="1" applyBorder="1" applyAlignment="1" applyProtection="1">
      <alignment vertical="distributed"/>
      <protection locked="0"/>
    </xf>
    <xf numFmtId="174" fontId="117" fillId="0" borderId="152" xfId="0" applyNumberFormat="1" applyFont="1" applyBorder="1" applyAlignment="1" applyProtection="1">
      <alignment vertical="distributed"/>
      <protection locked="0"/>
    </xf>
    <xf numFmtId="0" fontId="64" fillId="10" borderId="5" xfId="0" applyFont="1" applyFill="1" applyBorder="1" applyAlignment="1" applyProtection="1">
      <alignment horizontal="center" vertical="distributed"/>
      <protection locked="0"/>
    </xf>
    <xf numFmtId="0" fontId="64" fillId="10" borderId="6" xfId="0" applyFont="1" applyFill="1" applyBorder="1" applyAlignment="1" applyProtection="1">
      <alignment horizontal="center" vertical="distributed"/>
      <protection locked="0"/>
    </xf>
    <xf numFmtId="4" fontId="25" fillId="10" borderId="102" xfId="0" applyNumberFormat="1" applyFont="1" applyFill="1" applyBorder="1" applyAlignment="1" applyProtection="1">
      <alignment horizontal="center" vertical="center"/>
      <protection locked="0"/>
    </xf>
    <xf numFmtId="4" fontId="25" fillId="10" borderId="103" xfId="0" applyNumberFormat="1" applyFont="1" applyFill="1" applyBorder="1" applyAlignment="1" applyProtection="1">
      <alignment horizontal="center" vertical="center"/>
      <protection locked="0"/>
    </xf>
    <xf numFmtId="4" fontId="25" fillId="10" borderId="104" xfId="0" applyNumberFormat="1" applyFont="1" applyFill="1" applyBorder="1" applyAlignment="1" applyProtection="1">
      <alignment horizontal="center" vertical="center"/>
      <protection locked="0"/>
    </xf>
    <xf numFmtId="174" fontId="61" fillId="10" borderId="88" xfId="0" applyNumberFormat="1" applyFont="1" applyFill="1" applyBorder="1" applyAlignment="1">
      <alignment horizontal="center" vertical="center"/>
    </xf>
    <xf numFmtId="174" fontId="77" fillId="12" borderId="5" xfId="0" applyNumberFormat="1" applyFont="1" applyFill="1" applyBorder="1" applyAlignment="1" applyProtection="1">
      <alignment vertical="distributed"/>
      <protection locked="0"/>
    </xf>
    <xf numFmtId="174" fontId="77" fillId="12" borderId="6" xfId="0" applyNumberFormat="1" applyFont="1" applyFill="1" applyBorder="1" applyAlignment="1" applyProtection="1">
      <alignment vertical="distributed"/>
      <protection locked="0"/>
    </xf>
    <xf numFmtId="4" fontId="88" fillId="10" borderId="162" xfId="0" applyNumberFormat="1" applyFont="1" applyFill="1" applyBorder="1" applyAlignment="1" applyProtection="1">
      <alignment horizontal="center" vertical="center"/>
      <protection locked="0"/>
    </xf>
    <xf numFmtId="4" fontId="88" fillId="10" borderId="163" xfId="0" applyNumberFormat="1" applyFont="1" applyFill="1" applyBorder="1" applyAlignment="1" applyProtection="1">
      <alignment horizontal="center" vertical="center"/>
      <protection locked="0"/>
    </xf>
    <xf numFmtId="4" fontId="88" fillId="10" borderId="164" xfId="0" applyNumberFormat="1" applyFont="1" applyFill="1" applyBorder="1" applyAlignment="1" applyProtection="1">
      <alignment horizontal="center" vertical="center"/>
      <protection locked="0"/>
    </xf>
    <xf numFmtId="174" fontId="88" fillId="10" borderId="162" xfId="0" applyNumberFormat="1" applyFont="1" applyFill="1" applyBorder="1" applyAlignment="1" applyProtection="1">
      <alignment horizontal="center" vertical="center"/>
      <protection locked="0"/>
    </xf>
    <xf numFmtId="174" fontId="88" fillId="10" borderId="163" xfId="0" applyNumberFormat="1" applyFont="1" applyFill="1" applyBorder="1" applyAlignment="1" applyProtection="1">
      <alignment horizontal="center" vertical="center"/>
      <protection locked="0"/>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52" fillId="10" borderId="39" xfId="0" applyFont="1" applyFill="1" applyBorder="1" applyAlignment="1">
      <alignment horizontal="center" vertical="center" wrapText="1"/>
    </xf>
    <xf numFmtId="0" fontId="52" fillId="10" borderId="8" xfId="0" applyFont="1" applyFill="1" applyBorder="1" applyAlignment="1">
      <alignment horizontal="center" vertical="center" wrapText="1"/>
    </xf>
    <xf numFmtId="0" fontId="52" fillId="10" borderId="24" xfId="0" applyFont="1" applyFill="1" applyBorder="1" applyAlignment="1">
      <alignment horizontal="center" vertical="center" wrapText="1"/>
    </xf>
    <xf numFmtId="0" fontId="40" fillId="10" borderId="26" xfId="0" applyFont="1" applyFill="1" applyBorder="1" applyAlignment="1">
      <alignment horizontal="center"/>
    </xf>
    <xf numFmtId="0" fontId="40" fillId="10" borderId="75" xfId="0" applyFont="1" applyFill="1" applyBorder="1" applyAlignment="1">
      <alignment horizontal="center"/>
    </xf>
    <xf numFmtId="0" fontId="40"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2" fillId="10" borderId="0" xfId="0" applyFont="1" applyFill="1" applyAlignment="1">
      <alignment horizontal="center" vertical="center"/>
    </xf>
    <xf numFmtId="168" fontId="88" fillId="10" borderId="0" xfId="0" applyNumberFormat="1" applyFont="1" applyFill="1" applyAlignment="1" applyProtection="1">
      <alignment horizontal="center" vertical="center"/>
      <protection locked="0"/>
    </xf>
    <xf numFmtId="0" fontId="88" fillId="10" borderId="6"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23" fillId="10" borderId="10" xfId="0" applyFont="1" applyFill="1" applyBorder="1" applyAlignment="1">
      <alignment horizontal="center" wrapText="1"/>
    </xf>
    <xf numFmtId="0" fontId="23" fillId="10" borderId="9" xfId="0" applyFont="1" applyFill="1" applyBorder="1" applyAlignment="1">
      <alignment horizontal="center" wrapText="1"/>
    </xf>
    <xf numFmtId="0" fontId="52" fillId="8" borderId="21" xfId="0" applyFont="1" applyFill="1" applyBorder="1" applyAlignment="1">
      <alignment horizontal="center" vertical="center" textRotation="90"/>
    </xf>
    <xf numFmtId="0" fontId="52" fillId="8" borderId="22" xfId="0" applyFont="1" applyFill="1" applyBorder="1" applyAlignment="1">
      <alignment horizontal="center" vertical="center" textRotation="90"/>
    </xf>
    <xf numFmtId="0" fontId="52" fillId="8" borderId="15" xfId="0" applyFont="1" applyFill="1" applyBorder="1" applyAlignment="1">
      <alignment horizontal="center" vertical="center" textRotation="90"/>
    </xf>
    <xf numFmtId="0" fontId="22" fillId="10" borderId="10" xfId="0" applyFont="1" applyFill="1" applyBorder="1" applyAlignment="1">
      <alignment horizontal="center" wrapText="1"/>
    </xf>
    <xf numFmtId="0" fontId="22" fillId="10" borderId="9" xfId="0" applyFont="1" applyFill="1" applyBorder="1" applyAlignment="1">
      <alignment horizontal="center" wrapText="1"/>
    </xf>
    <xf numFmtId="0" fontId="26" fillId="10" borderId="32" xfId="0" applyFont="1" applyFill="1" applyBorder="1" applyAlignment="1">
      <alignment horizontal="center" vertical="center"/>
    </xf>
    <xf numFmtId="0" fontId="0" fillId="10" borderId="12" xfId="0" applyFill="1" applyBorder="1"/>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xf numFmtId="49" fontId="77" fillId="10" borderId="135" xfId="0" applyNumberFormat="1" applyFont="1" applyFill="1" applyBorder="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83" fillId="10" borderId="141" xfId="0" applyNumberFormat="1" applyFont="1" applyFill="1" applyBorder="1" applyAlignment="1" applyProtection="1">
      <alignment horizontal="center" vertical="center"/>
      <protection locked="0"/>
    </xf>
    <xf numFmtId="4" fontId="83" fillId="10" borderId="142" xfId="0" applyNumberFormat="1" applyFont="1" applyFill="1" applyBorder="1" applyAlignment="1" applyProtection="1">
      <alignment horizontal="center" vertical="center"/>
      <protection locked="0"/>
    </xf>
    <xf numFmtId="0" fontId="83" fillId="10" borderId="141" xfId="0" applyFont="1" applyFill="1" applyBorder="1" applyAlignment="1" applyProtection="1">
      <alignment horizontal="center" vertical="center"/>
      <protection locked="0"/>
    </xf>
    <xf numFmtId="0" fontId="83" fillId="10" borderId="142" xfId="0" applyFont="1" applyFill="1" applyBorder="1" applyAlignment="1" applyProtection="1">
      <alignment horizontal="center" vertical="center"/>
      <protection locked="0"/>
    </xf>
    <xf numFmtId="0" fontId="83" fillId="10" borderId="144" xfId="0" applyFont="1" applyFill="1" applyBorder="1" applyAlignment="1" applyProtection="1">
      <alignment horizontal="center" vertical="center"/>
      <protection locked="0"/>
    </xf>
    <xf numFmtId="0" fontId="83" fillId="10" borderId="145" xfId="0" applyFont="1" applyFill="1" applyBorder="1" applyAlignment="1" applyProtection="1">
      <alignment horizontal="center" vertical="center"/>
      <protection locked="0"/>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15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1ACC7"/>
      <color rgb="FF72B6B6"/>
      <color rgb="FF617CC7"/>
      <color rgb="FF747CB4"/>
      <color rgb="FF579AD1"/>
      <color rgb="FF5DA6CB"/>
      <color rgb="FF59CFCC"/>
      <color rgb="FF5FC9C9"/>
      <color rgb="FF6AAABE"/>
      <color rgb="FF5EA1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1.xml><?xml version="1.0" encoding="utf-8"?>
<formControlPr xmlns="http://schemas.microsoft.com/office/spreadsheetml/2009/9/main" objectType="CheckBox" fmlaLink="$I$32" lockText="1"/>
</file>

<file path=xl/ctrlProps/ctrlProp12.xml><?xml version="1.0" encoding="utf-8"?>
<formControlPr xmlns="http://schemas.microsoft.com/office/spreadsheetml/2009/9/main" objectType="CheckBox" fmlaLink="'Kalkulation Herstellungskosten'!$AJ$32" lockText="1"/>
</file>

<file path=xl/ctrlProps/ctrlProp13.xml><?xml version="1.0" encoding="utf-8"?>
<formControlPr xmlns="http://schemas.microsoft.com/office/spreadsheetml/2009/9/main" objectType="CheckBox" fmlaLink="Stammblatt!$I$17" lockText="1"/>
</file>

<file path=xl/ctrlProps/ctrlProp14.xml><?xml version="1.0" encoding="utf-8"?>
<formControlPr xmlns="http://schemas.microsoft.com/office/spreadsheetml/2009/9/main" objectType="CheckBox" fmlaLink="'Kalkulation Herstellungskosten'!$AJ$44" lockText="1"/>
</file>

<file path=xl/ctrlProps/ctrlProp15.xml><?xml version="1.0" encoding="utf-8"?>
<formControlPr xmlns="http://schemas.microsoft.com/office/spreadsheetml/2009/9/main" objectType="CheckBox" fmlaLink="$I$15" lockText="1"/>
</file>

<file path=xl/ctrlProps/ctrlProp16.xml><?xml version="1.0" encoding="utf-8"?>
<formControlPr xmlns="http://schemas.microsoft.com/office/spreadsheetml/2009/9/main" objectType="CheckBox" fmlaLink="'Kalkulation Herstellungskosten'!$AJ$30"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V$21" lockText="1" noThreeD="1"/>
</file>

<file path=xl/ctrlProps/ctrlProp19.xml><?xml version="1.0" encoding="utf-8"?>
<formControlPr xmlns="http://schemas.microsoft.com/office/spreadsheetml/2009/9/main" objectType="CheckBox" fmlaLink="$V$22"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AJ$30" lockText="1" noThreeD="1"/>
</file>

<file path=xl/ctrlProps/ctrlProp21.xml><?xml version="1.0" encoding="utf-8"?>
<formControlPr xmlns="http://schemas.microsoft.com/office/spreadsheetml/2009/9/main" objectType="CheckBox" fmlaLink="$AJ$32" lockText="1" noThreeD="1"/>
</file>

<file path=xl/ctrlProps/ctrlProp22.xml><?xml version="1.0" encoding="utf-8"?>
<formControlPr xmlns="http://schemas.microsoft.com/office/spreadsheetml/2009/9/main" objectType="CheckBox" fmlaLink="$AJ$34" lockText="1" noThreeD="1"/>
</file>

<file path=xl/ctrlProps/ctrlProp23.xml><?xml version="1.0" encoding="utf-8"?>
<formControlPr xmlns="http://schemas.microsoft.com/office/spreadsheetml/2009/9/main" objectType="CheckBox" fmlaLink="$AJ$36" lockText="1" noThreeD="1"/>
</file>

<file path=xl/ctrlProps/ctrlProp24.xml><?xml version="1.0" encoding="utf-8"?>
<formControlPr xmlns="http://schemas.microsoft.com/office/spreadsheetml/2009/9/main" objectType="CheckBox" fmlaLink="$AJ$38" lockText="1" noThreeD="1"/>
</file>

<file path=xl/ctrlProps/ctrlProp25.xml><?xml version="1.0" encoding="utf-8"?>
<formControlPr xmlns="http://schemas.microsoft.com/office/spreadsheetml/2009/9/main" objectType="CheckBox" fmlaLink="$AJ$40" lockText="1" noThreeD="1"/>
</file>

<file path=xl/ctrlProps/ctrlProp26.xml><?xml version="1.0" encoding="utf-8"?>
<formControlPr xmlns="http://schemas.microsoft.com/office/spreadsheetml/2009/9/main" objectType="CheckBox" fmlaLink="$AJ$42" lockText="1" noThreeD="1"/>
</file>

<file path=xl/ctrlProps/ctrlProp27.xml><?xml version="1.0" encoding="utf-8"?>
<formControlPr xmlns="http://schemas.microsoft.com/office/spreadsheetml/2009/9/main" objectType="CheckBox" fmlaLink="$AJ$44" lockText="1" noThreeD="1"/>
</file>

<file path=xl/ctrlProps/ctrlProp28.xml><?xml version="1.0" encoding="utf-8"?>
<formControlPr xmlns="http://schemas.microsoft.com/office/spreadsheetml/2009/9/main" objectType="CheckBox" fmlaLink="$AJ$45" lockText="1" noThreeD="1"/>
</file>

<file path=xl/ctrlProps/ctrlProp29.xml><?xml version="1.0" encoding="utf-8"?>
<formControlPr xmlns="http://schemas.microsoft.com/office/spreadsheetml/2009/9/main" objectType="CheckBox" fmlaLink="$AJ$47"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J$49" lockText="1" noThreeD="1"/>
</file>

<file path=xl/ctrlProps/ctrlProp31.xml><?xml version="1.0" encoding="utf-8"?>
<formControlPr xmlns="http://schemas.microsoft.com/office/spreadsheetml/2009/9/main" objectType="CheckBox" fmlaLink="$AJ$51" lockText="1" noThreeD="1"/>
</file>

<file path=xl/ctrlProps/ctrlProp32.xml><?xml version="1.0" encoding="utf-8"?>
<formControlPr xmlns="http://schemas.microsoft.com/office/spreadsheetml/2009/9/main" objectType="CheckBox" fmlaLink="$AJ$53" lockText="1" noThreeD="1"/>
</file>

<file path=xl/ctrlProps/ctrlProp33.xml><?xml version="1.0" encoding="utf-8"?>
<formControlPr xmlns="http://schemas.microsoft.com/office/spreadsheetml/2009/9/main" objectType="CheckBox" fmlaLink="$AJ$55" lockText="1" noThreeD="1"/>
</file>

<file path=xl/ctrlProps/ctrlProp34.xml><?xml version="1.0" encoding="utf-8"?>
<formControlPr xmlns="http://schemas.microsoft.com/office/spreadsheetml/2009/9/main" objectType="CheckBox" fmlaLink="$AJ$57" lockText="1" noThreeD="1"/>
</file>

<file path=xl/ctrlProps/ctrlProp35.xml><?xml version="1.0" encoding="utf-8"?>
<formControlPr xmlns="http://schemas.microsoft.com/office/spreadsheetml/2009/9/main" objectType="CheckBox" fmlaLink="$AJ$59" lockText="1" noThreeD="1"/>
</file>

<file path=xl/ctrlProps/ctrlProp36.xml><?xml version="1.0" encoding="utf-8"?>
<formControlPr xmlns="http://schemas.microsoft.com/office/spreadsheetml/2009/9/main" objectType="CheckBox" fmlaLink="$AJ$61" lockText="1" noThreeD="1"/>
</file>

<file path=xl/ctrlProps/ctrlProp37.xml><?xml version="1.0" encoding="utf-8"?>
<formControlPr xmlns="http://schemas.microsoft.com/office/spreadsheetml/2009/9/main" objectType="CheckBox" fmlaLink="$AJ$63" lockText="1" noThreeD="1"/>
</file>

<file path=xl/ctrlProps/ctrlProp38.xml><?xml version="1.0" encoding="utf-8"?>
<formControlPr xmlns="http://schemas.microsoft.com/office/spreadsheetml/2009/9/main" objectType="CheckBox" fmlaLink="$AJ$65" lockText="1" noThreeD="1"/>
</file>

<file path=xl/ctrlProps/ctrlProp39.xml><?xml version="1.0" encoding="utf-8"?>
<formControlPr xmlns="http://schemas.microsoft.com/office/spreadsheetml/2009/9/main" objectType="CheckBox" fmlaLink="$AJ$67"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J$69" lockText="1" noThreeD="1"/>
</file>

<file path=xl/ctrlProps/ctrlProp41.xml><?xml version="1.0" encoding="utf-8"?>
<formControlPr xmlns="http://schemas.microsoft.com/office/spreadsheetml/2009/9/main" objectType="CheckBox" fmlaLink="$AJ$71" lockText="1" noThreeD="1"/>
</file>

<file path=xl/ctrlProps/ctrlProp42.xml><?xml version="1.0" encoding="utf-8"?>
<formControlPr xmlns="http://schemas.microsoft.com/office/spreadsheetml/2009/9/main" objectType="CheckBox" fmlaLink="$AJ$73" lockText="1" noThreeD="1"/>
</file>

<file path=xl/ctrlProps/ctrlProp43.xml><?xml version="1.0" encoding="utf-8"?>
<formControlPr xmlns="http://schemas.microsoft.com/office/spreadsheetml/2009/9/main" objectType="CheckBox" fmlaLink="$AJ$75" lockText="1" noThreeD="1"/>
</file>

<file path=xl/ctrlProps/ctrlProp44.xml><?xml version="1.0" encoding="utf-8"?>
<formControlPr xmlns="http://schemas.microsoft.com/office/spreadsheetml/2009/9/main" objectType="CheckBox" fmlaLink="$AJ$77" lockText="1" noThreeD="1"/>
</file>

<file path=xl/ctrlProps/ctrlProp45.xml><?xml version="1.0" encoding="utf-8"?>
<formControlPr xmlns="http://schemas.microsoft.com/office/spreadsheetml/2009/9/main" objectType="CheckBox" fmlaLink="$AJ$79" lockText="1" noThreeD="1"/>
</file>

<file path=xl/ctrlProps/ctrlProp46.xml><?xml version="1.0" encoding="utf-8"?>
<formControlPr xmlns="http://schemas.microsoft.com/office/spreadsheetml/2009/9/main" objectType="CheckBox" fmlaLink="$AJ$81" lockText="1" noThreeD="1"/>
</file>

<file path=xl/ctrlProps/ctrlProp47.xml><?xml version="1.0" encoding="utf-8"?>
<formControlPr xmlns="http://schemas.microsoft.com/office/spreadsheetml/2009/9/main" objectType="CheckBox" fmlaLink="$AJ$83" lockText="1" noThreeD="1"/>
</file>

<file path=xl/ctrlProps/ctrlProp48.xml><?xml version="1.0" encoding="utf-8"?>
<formControlPr xmlns="http://schemas.microsoft.com/office/spreadsheetml/2009/9/main" objectType="CheckBox" fmlaLink="$AJ$85" lockText="1" noThreeD="1"/>
</file>

<file path=xl/ctrlProps/ctrlProp49.xml><?xml version="1.0" encoding="utf-8"?>
<formControlPr xmlns="http://schemas.microsoft.com/office/spreadsheetml/2009/9/main" objectType="CheckBox" fmlaLink="$AJ$87" lockText="1" noThreeD="1"/>
</file>

<file path=xl/ctrlProps/ctrlProp5.xml><?xml version="1.0" encoding="utf-8"?>
<formControlPr xmlns="http://schemas.microsoft.com/office/spreadsheetml/2009/9/main" objectType="CheckBox" fmlaLink="'Kalkulation Herstellungskosten'!$AJ$14" lockText="1"/>
</file>

<file path=xl/ctrlProps/ctrlProp50.xml><?xml version="1.0" encoding="utf-8"?>
<formControlPr xmlns="http://schemas.microsoft.com/office/spreadsheetml/2009/9/main" objectType="CheckBox" fmlaLink="$AJ$89" lockText="1" noThreeD="1"/>
</file>

<file path=xl/ctrlProps/ctrlProp51.xml><?xml version="1.0" encoding="utf-8"?>
<formControlPr xmlns="http://schemas.microsoft.com/office/spreadsheetml/2009/9/main" objectType="CheckBox" fmlaLink="$AJ$91" lockText="1" noThreeD="1"/>
</file>

<file path=xl/ctrlProps/ctrlProp52.xml><?xml version="1.0" encoding="utf-8"?>
<formControlPr xmlns="http://schemas.microsoft.com/office/spreadsheetml/2009/9/main" objectType="CheckBox" fmlaLink="$AJ$93" lockText="1" noThreeD="1"/>
</file>

<file path=xl/ctrlProps/ctrlProp53.xml><?xml version="1.0" encoding="utf-8"?>
<formControlPr xmlns="http://schemas.microsoft.com/office/spreadsheetml/2009/9/main" objectType="CheckBox" fmlaLink="$AJ$95" lockText="1" noThreeD="1"/>
</file>

<file path=xl/ctrlProps/ctrlProp54.xml><?xml version="1.0" encoding="utf-8"?>
<formControlPr xmlns="http://schemas.microsoft.com/office/spreadsheetml/2009/9/main" objectType="CheckBox" fmlaLink="$AJ$97" lockText="1" noThreeD="1"/>
</file>

<file path=xl/ctrlProps/ctrlProp55.xml><?xml version="1.0" encoding="utf-8"?>
<formControlPr xmlns="http://schemas.microsoft.com/office/spreadsheetml/2009/9/main" objectType="CheckBox" fmlaLink="$AJ$99" lockText="1" noThreeD="1"/>
</file>

<file path=xl/ctrlProps/ctrlProp56.xml><?xml version="1.0" encoding="utf-8"?>
<formControlPr xmlns="http://schemas.microsoft.com/office/spreadsheetml/2009/9/main" objectType="CheckBox" fmlaLink="$AJ$101" lockText="1" noThreeD="1"/>
</file>

<file path=xl/ctrlProps/ctrlProp57.xml><?xml version="1.0" encoding="utf-8"?>
<formControlPr xmlns="http://schemas.microsoft.com/office/spreadsheetml/2009/9/main" objectType="CheckBox" fmlaLink="$AJ$103" lockText="1" noThreeD="1"/>
</file>

<file path=xl/ctrlProps/ctrlProp58.xml><?xml version="1.0" encoding="utf-8"?>
<formControlPr xmlns="http://schemas.microsoft.com/office/spreadsheetml/2009/9/main" objectType="CheckBox" fmlaLink="$AJ$105" lockText="1" noThreeD="1"/>
</file>

<file path=xl/ctrlProps/ctrlProp59.xml><?xml version="1.0" encoding="utf-8"?>
<formControlPr xmlns="http://schemas.microsoft.com/office/spreadsheetml/2009/9/main" objectType="CheckBox" fmlaLink="$AJ$107" lockText="1" noThreeD="1"/>
</file>

<file path=xl/ctrlProps/ctrlProp6.xml><?xml version="1.0" encoding="utf-8"?>
<formControlPr xmlns="http://schemas.microsoft.com/office/spreadsheetml/2009/9/main" objectType="CheckBox" fmlaLink="'Kalkulation Herstellungskosten'!$AJ$45" lockText="1"/>
</file>

<file path=xl/ctrlProps/ctrlProp60.xml><?xml version="1.0" encoding="utf-8"?>
<formControlPr xmlns="http://schemas.microsoft.com/office/spreadsheetml/2009/9/main" objectType="CheckBox" fmlaLink="$AJ$109" lockText="1" noThreeD="1"/>
</file>

<file path=xl/ctrlProps/ctrlProp61.xml><?xml version="1.0" encoding="utf-8"?>
<formControlPr xmlns="http://schemas.microsoft.com/office/spreadsheetml/2009/9/main" objectType="CheckBox" fmlaLink="$AJ$111" lockText="1" noThreeD="1"/>
</file>

<file path=xl/ctrlProps/ctrlProp62.xml><?xml version="1.0" encoding="utf-8"?>
<formControlPr xmlns="http://schemas.microsoft.com/office/spreadsheetml/2009/9/main" objectType="CheckBox" fmlaLink="$AJ$113" lockText="1" noThreeD="1"/>
</file>

<file path=xl/ctrlProps/ctrlProp63.xml><?xml version="1.0" encoding="utf-8"?>
<formControlPr xmlns="http://schemas.microsoft.com/office/spreadsheetml/2009/9/main" objectType="CheckBox" fmlaLink="$AJ$115" lockText="1" noThreeD="1"/>
</file>

<file path=xl/ctrlProps/ctrlProp64.xml><?xml version="1.0" encoding="utf-8"?>
<formControlPr xmlns="http://schemas.microsoft.com/office/spreadsheetml/2009/9/main" objectType="CheckBox" fmlaLink="$AJ$117" lockText="1" noThreeD="1"/>
</file>

<file path=xl/ctrlProps/ctrlProp65.xml><?xml version="1.0" encoding="utf-8"?>
<formControlPr xmlns="http://schemas.microsoft.com/office/spreadsheetml/2009/9/main" objectType="CheckBox" fmlaLink="$AJ$119" lockText="1" noThreeD="1"/>
</file>

<file path=xl/ctrlProps/ctrlProp66.xml><?xml version="1.0" encoding="utf-8"?>
<formControlPr xmlns="http://schemas.microsoft.com/office/spreadsheetml/2009/9/main" objectType="CheckBox" fmlaLink="$AJ$121" lockText="1" noThreeD="1"/>
</file>

<file path=xl/ctrlProps/ctrlProp67.xml><?xml version="1.0" encoding="utf-8"?>
<formControlPr xmlns="http://schemas.microsoft.com/office/spreadsheetml/2009/9/main" objectType="CheckBox" fmlaLink="$AJ$123" lockText="1" noThreeD="1"/>
</file>

<file path=xl/ctrlProps/ctrlProp68.xml><?xml version="1.0" encoding="utf-8"?>
<formControlPr xmlns="http://schemas.microsoft.com/office/spreadsheetml/2009/9/main" objectType="CheckBox" fmlaLink="$AJ$125" lockText="1" noThreeD="1"/>
</file>

<file path=xl/ctrlProps/ctrlProp69.xml><?xml version="1.0" encoding="utf-8"?>
<formControlPr xmlns="http://schemas.microsoft.com/office/spreadsheetml/2009/9/main" objectType="CheckBox" fmlaLink="$AJ$127" lockText="1" noThreeD="1"/>
</file>

<file path=xl/ctrlProps/ctrlProp7.xml><?xml version="1.0" encoding="utf-8"?>
<formControlPr xmlns="http://schemas.microsoft.com/office/spreadsheetml/2009/9/main" objectType="CheckBox" fmlaLink="$I$7" lockText="1"/>
</file>

<file path=xl/ctrlProps/ctrlProp70.xml><?xml version="1.0" encoding="utf-8"?>
<formControlPr xmlns="http://schemas.microsoft.com/office/spreadsheetml/2009/9/main" objectType="CheckBox" fmlaLink="$AJ$129" lockText="1" noThreeD="1"/>
</file>

<file path=xl/ctrlProps/ctrlProp71.xml><?xml version="1.0" encoding="utf-8"?>
<formControlPr xmlns="http://schemas.microsoft.com/office/spreadsheetml/2009/9/main" objectType="CheckBox" fmlaLink="$AJ$131" lockText="1" noThreeD="1"/>
</file>

<file path=xl/ctrlProps/ctrlProp72.xml><?xml version="1.0" encoding="utf-8"?>
<formControlPr xmlns="http://schemas.microsoft.com/office/spreadsheetml/2009/9/main" objectType="CheckBox" fmlaLink="$AJ$14" lockText="1" noThreeD="1"/>
</file>

<file path=xl/ctrlProps/ctrlProp73.xml><?xml version="1.0" encoding="utf-8"?>
<formControlPr xmlns="http://schemas.microsoft.com/office/spreadsheetml/2009/9/main" objectType="CheckBox" fmlaLink="$AJ$292" lockText="1" noThreeD="1"/>
</file>

<file path=xl/ctrlProps/ctrlProp74.xml><?xml version="1.0" encoding="utf-8"?>
<formControlPr xmlns="http://schemas.microsoft.com/office/spreadsheetml/2009/9/main" objectType="CheckBox" fmlaLink="$AJ$294" lockText="1" noThreeD="1"/>
</file>

<file path=xl/ctrlProps/ctrlProp75.xml><?xml version="1.0" encoding="utf-8"?>
<formControlPr xmlns="http://schemas.microsoft.com/office/spreadsheetml/2009/9/main" objectType="CheckBox" fmlaLink="$AJ$297" lockText="1" noThreeD="1"/>
</file>

<file path=xl/ctrlProps/ctrlProp76.xml><?xml version="1.0" encoding="utf-8"?>
<formControlPr xmlns="http://schemas.microsoft.com/office/spreadsheetml/2009/9/main" objectType="CheckBox" fmlaLink="$AJ$353" lockText="1" noThreeD="1"/>
</file>

<file path=xl/ctrlProps/ctrlProp77.xml><?xml version="1.0" encoding="utf-8"?>
<formControlPr xmlns="http://schemas.microsoft.com/office/spreadsheetml/2009/9/main" objectType="CheckBox" fmlaLink="$AJ$354" lockText="1" noThreeD="1"/>
</file>

<file path=xl/ctrlProps/ctrlProp78.xml><?xml version="1.0" encoding="utf-8"?>
<formControlPr xmlns="http://schemas.microsoft.com/office/spreadsheetml/2009/9/main" objectType="CheckBox" fmlaLink="$AJ$356" lockText="1" noThreeD="1"/>
</file>

<file path=xl/ctrlProps/ctrlProp79.xml><?xml version="1.0" encoding="utf-8"?>
<formControlPr xmlns="http://schemas.microsoft.com/office/spreadsheetml/2009/9/main" objectType="CheckBox" fmlaLink="$AM$64"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J$134" lockText="1" noThreeD="1"/>
</file>

<file path=xl/ctrlProps/ctrlProp81.xml><?xml version="1.0" encoding="utf-8"?>
<formControlPr xmlns="http://schemas.microsoft.com/office/spreadsheetml/2009/9/main" objectType="Drop" dropStyle="combo" dx="22" fmlaLink="$H$14" fmlaRange="$L$11:$L$28" noThreeD="1" sel="1" val="0"/>
</file>

<file path=xl/ctrlProps/ctrlProp82.xml><?xml version="1.0" encoding="utf-8"?>
<formControlPr xmlns="http://schemas.microsoft.com/office/spreadsheetml/2009/9/main" objectType="Drop" dropStyle="combo" dx="22" fmlaLink="$H$15" fmlaRange="$L$11:$L$28" noThreeD="1" sel="1" val="0"/>
</file>

<file path=xl/ctrlProps/ctrlProp83.xml><?xml version="1.0" encoding="utf-8"?>
<formControlPr xmlns="http://schemas.microsoft.com/office/spreadsheetml/2009/9/main" objectType="Drop" dropStyle="combo" dx="22" fmlaLink="$H$16" fmlaRange="$L$11:$L$28" noThreeD="1" sel="1" val="0"/>
</file>

<file path=xl/ctrlProps/ctrlProp84.xml><?xml version="1.0" encoding="utf-8"?>
<formControlPr xmlns="http://schemas.microsoft.com/office/spreadsheetml/2009/9/main" objectType="Drop" dropStyle="combo" dx="22" fmlaLink="$H$17" fmlaRange="$L$11:$L$28" noThreeD="1" sel="1" val="0"/>
</file>

<file path=xl/ctrlProps/ctrlProp85.xml><?xml version="1.0" encoding="utf-8"?>
<formControlPr xmlns="http://schemas.microsoft.com/office/spreadsheetml/2009/9/main" objectType="Drop" dropStyle="combo" dx="22" fmlaLink="$H$18" fmlaRange="$L$11:$L$28" noThreeD="1" sel="1" val="0"/>
</file>

<file path=xl/ctrlProps/ctrlProp86.xml><?xml version="1.0" encoding="utf-8"?>
<formControlPr xmlns="http://schemas.microsoft.com/office/spreadsheetml/2009/9/main" objectType="Drop" dropStyle="combo" dx="22" fmlaLink="$H$19" fmlaRange="$L$11:$L$28" noThreeD="1" sel="1" val="0"/>
</file>

<file path=xl/ctrlProps/ctrlProp87.xml><?xml version="1.0" encoding="utf-8"?>
<formControlPr xmlns="http://schemas.microsoft.com/office/spreadsheetml/2009/9/main" objectType="Drop" dropStyle="combo" dx="22" fmlaLink="$H$20" fmlaRange="$L$11:$L$28" noThreeD="1" sel="1" val="0"/>
</file>

<file path=xl/ctrlProps/ctrlProp9.xml><?xml version="1.0" encoding="utf-8"?>
<formControlPr xmlns="http://schemas.microsoft.com/office/spreadsheetml/2009/9/main" objectType="CheckBox" fmlaLink="$I$9"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9439275</xdr:colOff>
      <xdr:row>33</xdr:row>
      <xdr:rowOff>9525</xdr:rowOff>
    </xdr:from>
    <xdr:to>
      <xdr:col>1</xdr:col>
      <xdr:colOff>9728597</xdr:colOff>
      <xdr:row>33</xdr:row>
      <xdr:rowOff>295274</xdr:rowOff>
    </xdr:to>
    <xdr:pic>
      <xdr:nvPicPr>
        <xdr:cNvPr id="3" name="Grafik 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0" y="16754475"/>
          <a:ext cx="28932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9829800</xdr:colOff>
      <xdr:row>33</xdr:row>
      <xdr:rowOff>9526</xdr:rowOff>
    </xdr:from>
    <xdr:to>
      <xdr:col>1</xdr:col>
      <xdr:colOff>10125074</xdr:colOff>
      <xdr:row>33</xdr:row>
      <xdr:rowOff>304800</xdr:rowOff>
    </xdr:to>
    <xdr:pic>
      <xdr:nvPicPr>
        <xdr:cNvPr id="4" name="Grafik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6025" y="16754476"/>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11029950</xdr:colOff>
      <xdr:row>0</xdr:row>
      <xdr:rowOff>28575</xdr:rowOff>
    </xdr:from>
    <xdr:to>
      <xdr:col>1</xdr:col>
      <xdr:colOff>12517120</xdr:colOff>
      <xdr:row>0</xdr:row>
      <xdr:rowOff>897890</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06175" y="28575"/>
          <a:ext cx="1487170" cy="869315"/>
        </a:xfrm>
        <a:prstGeom prst="rect">
          <a:avLst/>
        </a:prstGeom>
        <a:noFill/>
        <a:ln>
          <a:noFill/>
        </a:ln>
      </xdr:spPr>
    </xdr:pic>
    <xdr:clientData/>
  </xdr:twoCellAnchor>
  <xdr:twoCellAnchor editAs="oneCell">
    <xdr:from>
      <xdr:col>1</xdr:col>
      <xdr:colOff>4105276</xdr:colOff>
      <xdr:row>3</xdr:row>
      <xdr:rowOff>352564</xdr:rowOff>
    </xdr:from>
    <xdr:to>
      <xdr:col>1</xdr:col>
      <xdr:colOff>5038725</xdr:colOff>
      <xdr:row>4</xdr:row>
      <xdr:rowOff>362089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4381501" y="3181489"/>
          <a:ext cx="933449"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342900</xdr:colOff>
          <xdr:row>12</xdr:row>
          <xdr:rowOff>133350</xdr:rowOff>
        </xdr:from>
        <xdr:to>
          <xdr:col>5</xdr:col>
          <xdr:colOff>638175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25</xdr:row>
          <xdr:rowOff>133350</xdr:rowOff>
        </xdr:from>
        <xdr:to>
          <xdr:col>6</xdr:col>
          <xdr:colOff>9525</xdr:colOff>
          <xdr:row>27</xdr:row>
          <xdr:rowOff>0</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27</xdr:row>
          <xdr:rowOff>9525</xdr:rowOff>
        </xdr:from>
        <xdr:to>
          <xdr:col>6</xdr:col>
          <xdr:colOff>9525</xdr:colOff>
          <xdr:row>28</xdr:row>
          <xdr:rowOff>38100</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14</xdr:row>
          <xdr:rowOff>133350</xdr:rowOff>
        </xdr:from>
        <xdr:to>
          <xdr:col>5</xdr:col>
          <xdr:colOff>638175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838200</xdr:colOff>
      <xdr:row>0</xdr:row>
      <xdr:rowOff>1</xdr:rowOff>
    </xdr:from>
    <xdr:to>
      <xdr:col>6</xdr:col>
      <xdr:colOff>90366</xdr:colOff>
      <xdr:row>2</xdr:row>
      <xdr:rowOff>133351</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5" y="1"/>
          <a:ext cx="1042866" cy="6096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342900</xdr:colOff>
          <xdr:row>11</xdr:row>
          <xdr:rowOff>133350</xdr:rowOff>
        </xdr:from>
        <xdr:to>
          <xdr:col>5</xdr:col>
          <xdr:colOff>638175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123825</xdr:rowOff>
        </xdr:from>
        <xdr:to>
          <xdr:col>4</xdr:col>
          <xdr:colOff>476250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30</xdr:row>
          <xdr:rowOff>133350</xdr:rowOff>
        </xdr:from>
        <xdr:to>
          <xdr:col>4</xdr:col>
          <xdr:colOff>476250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17</xdr:row>
          <xdr:rowOff>133350</xdr:rowOff>
        </xdr:from>
        <xdr:to>
          <xdr:col>5</xdr:col>
          <xdr:colOff>638175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xdr:row>
          <xdr:rowOff>133350</xdr:rowOff>
        </xdr:from>
        <xdr:to>
          <xdr:col>5</xdr:col>
          <xdr:colOff>638175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18</xdr:row>
          <xdr:rowOff>133350</xdr:rowOff>
        </xdr:from>
        <xdr:to>
          <xdr:col>5</xdr:col>
          <xdr:colOff>638175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13</xdr:row>
          <xdr:rowOff>133350</xdr:rowOff>
        </xdr:from>
        <xdr:to>
          <xdr:col>5</xdr:col>
          <xdr:colOff>638175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xdr:row>
          <xdr:rowOff>133350</xdr:rowOff>
        </xdr:from>
        <xdr:to>
          <xdr:col>5</xdr:col>
          <xdr:colOff>638175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7</xdr:row>
          <xdr:rowOff>133350</xdr:rowOff>
        </xdr:from>
        <xdr:to>
          <xdr:col>5</xdr:col>
          <xdr:colOff>647700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17</xdr:row>
          <xdr:rowOff>95250</xdr:rowOff>
        </xdr:from>
        <xdr:to>
          <xdr:col>1</xdr:col>
          <xdr:colOff>285750</xdr:colOff>
          <xdr:row>19</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114300</xdr:rowOff>
        </xdr:from>
        <xdr:to>
          <xdr:col>1</xdr:col>
          <xdr:colOff>285750</xdr:colOff>
          <xdr:row>20</xdr:row>
          <xdr:rowOff>76200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28</xdr:row>
          <xdr:rowOff>47625</xdr:rowOff>
        </xdr:from>
        <xdr:to>
          <xdr:col>3</xdr:col>
          <xdr:colOff>447675</xdr:colOff>
          <xdr:row>29</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47625</xdr:rowOff>
        </xdr:from>
        <xdr:to>
          <xdr:col>3</xdr:col>
          <xdr:colOff>447675</xdr:colOff>
          <xdr:row>31</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xdr:row>
          <xdr:rowOff>38100</xdr:rowOff>
        </xdr:from>
        <xdr:to>
          <xdr:col>3</xdr:col>
          <xdr:colOff>447675</xdr:colOff>
          <xdr:row>33</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34</xdr:row>
          <xdr:rowOff>47625</xdr:rowOff>
        </xdr:from>
        <xdr:to>
          <xdr:col>3</xdr:col>
          <xdr:colOff>447675</xdr:colOff>
          <xdr:row>35</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36</xdr:row>
          <xdr:rowOff>47625</xdr:rowOff>
        </xdr:from>
        <xdr:to>
          <xdr:col>3</xdr:col>
          <xdr:colOff>447675</xdr:colOff>
          <xdr:row>37</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xdr:row>
          <xdr:rowOff>47625</xdr:rowOff>
        </xdr:from>
        <xdr:to>
          <xdr:col>3</xdr:col>
          <xdr:colOff>447675</xdr:colOff>
          <xdr:row>39</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47625</xdr:rowOff>
        </xdr:from>
        <xdr:to>
          <xdr:col>3</xdr:col>
          <xdr:colOff>447675</xdr:colOff>
          <xdr:row>41</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42</xdr:row>
          <xdr:rowOff>57150</xdr:rowOff>
        </xdr:from>
        <xdr:to>
          <xdr:col>3</xdr:col>
          <xdr:colOff>447675</xdr:colOff>
          <xdr:row>43</xdr:row>
          <xdr:rowOff>114300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44</xdr:row>
          <xdr:rowOff>57150</xdr:rowOff>
        </xdr:from>
        <xdr:to>
          <xdr:col>3</xdr:col>
          <xdr:colOff>447675</xdr:colOff>
          <xdr:row>44</xdr:row>
          <xdr:rowOff>276225</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447675</xdr:colOff>
          <xdr:row>46</xdr:row>
          <xdr:rowOff>104775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447675</xdr:colOff>
          <xdr:row>48</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447675</xdr:colOff>
          <xdr:row>50</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47625</xdr:rowOff>
        </xdr:from>
        <xdr:to>
          <xdr:col>3</xdr:col>
          <xdr:colOff>447675</xdr:colOff>
          <xdr:row>52</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47625</xdr:rowOff>
        </xdr:from>
        <xdr:to>
          <xdr:col>3</xdr:col>
          <xdr:colOff>447675</xdr:colOff>
          <xdr:row>54</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47625</xdr:rowOff>
        </xdr:from>
        <xdr:to>
          <xdr:col>3</xdr:col>
          <xdr:colOff>447675</xdr:colOff>
          <xdr:row>56</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447675</xdr:colOff>
          <xdr:row>58</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447675</xdr:colOff>
          <xdr:row>60</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447675</xdr:colOff>
          <xdr:row>62</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447675</xdr:colOff>
          <xdr:row>64</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447675</xdr:colOff>
          <xdr:row>66</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447675</xdr:colOff>
          <xdr:row>68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447675</xdr:colOff>
          <xdr:row>70</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447675</xdr:colOff>
          <xdr:row>72</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447675</xdr:colOff>
          <xdr:row>74</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447675</xdr:colOff>
          <xdr:row>76</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447675</xdr:colOff>
          <xdr:row>78</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447675</xdr:colOff>
          <xdr:row>80</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447675</xdr:colOff>
          <xdr:row>82</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447675</xdr:colOff>
          <xdr:row>84</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447675</xdr:colOff>
          <xdr:row>86</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447675</xdr:colOff>
          <xdr:row>88</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57150</xdr:rowOff>
        </xdr:from>
        <xdr:to>
          <xdr:col>3</xdr:col>
          <xdr:colOff>447675</xdr:colOff>
          <xdr:row>90</xdr:row>
          <xdr:rowOff>114300</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57150</xdr:rowOff>
        </xdr:from>
        <xdr:to>
          <xdr:col>3</xdr:col>
          <xdr:colOff>447675</xdr:colOff>
          <xdr:row>92</xdr:row>
          <xdr:rowOff>114300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57150</xdr:rowOff>
        </xdr:from>
        <xdr:to>
          <xdr:col>3</xdr:col>
          <xdr:colOff>447675</xdr:colOff>
          <xdr:row>94</xdr:row>
          <xdr:rowOff>114300</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57150</xdr:rowOff>
        </xdr:from>
        <xdr:to>
          <xdr:col>3</xdr:col>
          <xdr:colOff>447675</xdr:colOff>
          <xdr:row>96</xdr:row>
          <xdr:rowOff>114300</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57150</xdr:rowOff>
        </xdr:from>
        <xdr:to>
          <xdr:col>3</xdr:col>
          <xdr:colOff>447675</xdr:colOff>
          <xdr:row>98</xdr:row>
          <xdr:rowOff>114300</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57150</xdr:rowOff>
        </xdr:from>
        <xdr:to>
          <xdr:col>3</xdr:col>
          <xdr:colOff>447675</xdr:colOff>
          <xdr:row>100</xdr:row>
          <xdr:rowOff>114300</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57150</xdr:rowOff>
        </xdr:from>
        <xdr:to>
          <xdr:col>3</xdr:col>
          <xdr:colOff>447675</xdr:colOff>
          <xdr:row>102</xdr:row>
          <xdr:rowOff>114300</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57150</xdr:rowOff>
        </xdr:from>
        <xdr:to>
          <xdr:col>3</xdr:col>
          <xdr:colOff>447675</xdr:colOff>
          <xdr:row>104</xdr:row>
          <xdr:rowOff>114300</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57150</xdr:rowOff>
        </xdr:from>
        <xdr:to>
          <xdr:col>3</xdr:col>
          <xdr:colOff>447675</xdr:colOff>
          <xdr:row>106</xdr:row>
          <xdr:rowOff>114300</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447675</xdr:colOff>
          <xdr:row>108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447675</xdr:colOff>
          <xdr:row>110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447675</xdr:colOff>
          <xdr:row>112</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47625</xdr:rowOff>
        </xdr:from>
        <xdr:to>
          <xdr:col>3</xdr:col>
          <xdr:colOff>447675</xdr:colOff>
          <xdr:row>114</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447675</xdr:colOff>
          <xdr:row>116</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47625</xdr:rowOff>
        </xdr:from>
        <xdr:to>
          <xdr:col>3</xdr:col>
          <xdr:colOff>447675</xdr:colOff>
          <xdr:row>118</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447675</xdr:colOff>
          <xdr:row>120</xdr:row>
          <xdr:rowOff>114300</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447675</xdr:colOff>
          <xdr:row>122</xdr:row>
          <xdr:rowOff>114300</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57150</xdr:rowOff>
        </xdr:from>
        <xdr:to>
          <xdr:col>3</xdr:col>
          <xdr:colOff>447675</xdr:colOff>
          <xdr:row>124</xdr:row>
          <xdr:rowOff>114300</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447675</xdr:colOff>
          <xdr:row>126</xdr:row>
          <xdr:rowOff>114300</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447675</xdr:colOff>
          <xdr:row>128</xdr:row>
          <xdr:rowOff>114300</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57150</xdr:rowOff>
        </xdr:from>
        <xdr:to>
          <xdr:col>3</xdr:col>
          <xdr:colOff>447675</xdr:colOff>
          <xdr:row>130</xdr:row>
          <xdr:rowOff>114300</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123825</xdr:rowOff>
        </xdr:from>
        <xdr:to>
          <xdr:col>3</xdr:col>
          <xdr:colOff>447675</xdr:colOff>
          <xdr:row>14</xdr:row>
          <xdr:rowOff>19050</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290</xdr:row>
          <xdr:rowOff>133350</xdr:rowOff>
        </xdr:from>
        <xdr:to>
          <xdr:col>3</xdr:col>
          <xdr:colOff>447675</xdr:colOff>
          <xdr:row>292</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292</xdr:row>
          <xdr:rowOff>123825</xdr:rowOff>
        </xdr:from>
        <xdr:to>
          <xdr:col>3</xdr:col>
          <xdr:colOff>447675</xdr:colOff>
          <xdr:row>294</xdr:row>
          <xdr:rowOff>19050</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295</xdr:row>
          <xdr:rowOff>133350</xdr:rowOff>
        </xdr:from>
        <xdr:to>
          <xdr:col>3</xdr:col>
          <xdr:colOff>447675</xdr:colOff>
          <xdr:row>297</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351</xdr:row>
          <xdr:rowOff>123825</xdr:rowOff>
        </xdr:from>
        <xdr:to>
          <xdr:col>3</xdr:col>
          <xdr:colOff>447675</xdr:colOff>
          <xdr:row>353</xdr:row>
          <xdr:rowOff>19050</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352</xdr:row>
          <xdr:rowOff>133350</xdr:rowOff>
        </xdr:from>
        <xdr:to>
          <xdr:col>3</xdr:col>
          <xdr:colOff>447675</xdr:colOff>
          <xdr:row>354</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354</xdr:row>
          <xdr:rowOff>123825</xdr:rowOff>
        </xdr:from>
        <xdr:to>
          <xdr:col>3</xdr:col>
          <xdr:colOff>447675</xdr:colOff>
          <xdr:row>356</xdr:row>
          <xdr:rowOff>19050</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62</xdr:row>
          <xdr:rowOff>133350</xdr:rowOff>
        </xdr:from>
        <xdr:to>
          <xdr:col>1</xdr:col>
          <xdr:colOff>1724025</xdr:colOff>
          <xdr:row>64</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132</xdr:row>
          <xdr:rowOff>123825</xdr:rowOff>
        </xdr:from>
        <xdr:to>
          <xdr:col>3</xdr:col>
          <xdr:colOff>447675</xdr:colOff>
          <xdr:row>134</xdr:row>
          <xdr:rowOff>19050</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6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6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6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6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6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6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6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0</xdr:colOff>
      <xdr:row>0</xdr:row>
      <xdr:rowOff>0</xdr:rowOff>
    </xdr:from>
    <xdr:to>
      <xdr:col>27</xdr:col>
      <xdr:colOff>95250</xdr:colOff>
      <xdr:row>2</xdr:row>
      <xdr:rowOff>114300</xdr:rowOff>
    </xdr:to>
    <xdr:sp macro="" textlink="">
      <xdr:nvSpPr>
        <xdr:cNvPr id="12297" name="AutoShape 9">
          <a:extLst>
            <a:ext uri="{FF2B5EF4-FFF2-40B4-BE49-F238E27FC236}">
              <a16:creationId xmlns:a16="http://schemas.microsoft.com/office/drawing/2014/main" id="{00000000-0008-0000-07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4</xdr:col>
      <xdr:colOff>971550</xdr:colOff>
      <xdr:row>59</xdr:row>
      <xdr:rowOff>46973</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
          <a:ext cx="6667500" cy="1057209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55" Type="http://schemas.openxmlformats.org/officeDocument/2006/relationships/ctrlProp" Target="../ctrlProps/ctrlProp71.xml"/><Relationship Id="rId63" Type="http://schemas.openxmlformats.org/officeDocument/2006/relationships/ctrlProp" Target="../ctrlProps/ctrlProp79.xml"/><Relationship Id="rId7" Type="http://schemas.openxmlformats.org/officeDocument/2006/relationships/ctrlProp" Target="../ctrlProps/ctrlProp23.xml"/><Relationship Id="rId2" Type="http://schemas.openxmlformats.org/officeDocument/2006/relationships/drawing" Target="../drawings/drawing4.xml"/><Relationship Id="rId16" Type="http://schemas.openxmlformats.org/officeDocument/2006/relationships/ctrlProp" Target="../ctrlProps/ctrlProp32.xml"/><Relationship Id="rId20" Type="http://schemas.openxmlformats.org/officeDocument/2006/relationships/ctrlProp" Target="../ctrlProps/ctrlProp36.xml"/><Relationship Id="rId29" Type="http://schemas.openxmlformats.org/officeDocument/2006/relationships/ctrlProp" Target="../ctrlProps/ctrlProp45.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8" Type="http://schemas.openxmlformats.org/officeDocument/2006/relationships/ctrlProp" Target="../ctrlProps/ctrlProp74.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61" Type="http://schemas.openxmlformats.org/officeDocument/2006/relationships/ctrlProp" Target="../ctrlProps/ctrlProp77.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omments" Target="../comments2.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64" Type="http://schemas.openxmlformats.org/officeDocument/2006/relationships/ctrlProp" Target="../ctrlProps/ctrlProp80.xml"/><Relationship Id="rId8" Type="http://schemas.openxmlformats.org/officeDocument/2006/relationships/ctrlProp" Target="../ctrlProps/ctrlProp24.xml"/><Relationship Id="rId51" Type="http://schemas.openxmlformats.org/officeDocument/2006/relationships/ctrlProp" Target="../ctrlProps/ctrlProp67.xml"/><Relationship Id="rId3" Type="http://schemas.openxmlformats.org/officeDocument/2006/relationships/vmlDrawing" Target="../drawings/vmlDrawing4.v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5.vml"/><Relationship Id="rId7" Type="http://schemas.openxmlformats.org/officeDocument/2006/relationships/ctrlProp" Target="../ctrlProps/ctrlProp8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5" Type="http://schemas.openxmlformats.org/officeDocument/2006/relationships/ctrlProp" Target="../ctrlProps/ctrlProp82.xml"/><Relationship Id="rId10" Type="http://schemas.openxmlformats.org/officeDocument/2006/relationships/ctrlProp" Target="../ctrlProps/ctrlProp87.xml"/><Relationship Id="rId4" Type="http://schemas.openxmlformats.org/officeDocument/2006/relationships/ctrlProp" Target="../ctrlProps/ctrlProp81.xml"/><Relationship Id="rId9" Type="http://schemas.openxmlformats.org/officeDocument/2006/relationships/ctrlProp" Target="../ctrlProps/ctrlProp8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40"/>
  <sheetViews>
    <sheetView showGridLines="0" tabSelected="1" zoomScaleNormal="100" workbookViewId="0">
      <selection activeCell="I1" sqref="I1"/>
    </sheetView>
  </sheetViews>
  <sheetFormatPr baseColWidth="10" defaultRowHeight="12.75" x14ac:dyDescent="0.2"/>
  <cols>
    <col min="1" max="1" width="3.625" style="151" customWidth="1"/>
    <col min="2" max="2" width="164.625" style="151" customWidth="1"/>
    <col min="3" max="12" width="11" style="151"/>
    <col min="13" max="13" width="8" style="151" customWidth="1"/>
    <col min="14" max="23" width="11" style="151"/>
  </cols>
  <sheetData>
    <row r="1" spans="2:3" ht="74.25" customHeight="1" x14ac:dyDescent="0.2">
      <c r="B1" s="1102" t="s">
        <v>1134</v>
      </c>
      <c r="C1"/>
    </row>
    <row r="2" spans="2:3" ht="74.25" customHeight="1" x14ac:dyDescent="0.2">
      <c r="B2" s="1076" t="s">
        <v>1135</v>
      </c>
      <c r="C2"/>
    </row>
    <row r="3" spans="2:3" ht="46.5" customHeight="1" x14ac:dyDescent="0.2">
      <c r="B3" s="1101" t="s">
        <v>1178</v>
      </c>
      <c r="C3"/>
    </row>
    <row r="4" spans="2:3" ht="36" customHeight="1" x14ac:dyDescent="0.2">
      <c r="B4" s="1082"/>
      <c r="C4"/>
    </row>
    <row r="5" spans="2:3" ht="36" customHeight="1" x14ac:dyDescent="0.2">
      <c r="B5" s="1077" t="s">
        <v>1136</v>
      </c>
      <c r="C5" s="1078"/>
    </row>
    <row r="6" spans="2:3" ht="27" customHeight="1" x14ac:dyDescent="0.2">
      <c r="B6" s="1076" t="s">
        <v>1137</v>
      </c>
      <c r="C6"/>
    </row>
    <row r="7" spans="2:3" ht="18" customHeight="1" x14ac:dyDescent="0.2">
      <c r="B7" s="1079" t="s">
        <v>1138</v>
      </c>
      <c r="C7"/>
    </row>
    <row r="8" spans="2:3" ht="18" customHeight="1" x14ac:dyDescent="0.2">
      <c r="B8" s="1079" t="s">
        <v>1139</v>
      </c>
      <c r="C8"/>
    </row>
    <row r="9" spans="2:3" ht="18" customHeight="1" x14ac:dyDescent="0.2">
      <c r="B9" s="1079" t="s">
        <v>1140</v>
      </c>
      <c r="C9"/>
    </row>
    <row r="10" spans="2:3" ht="54" customHeight="1" x14ac:dyDescent="0.2">
      <c r="B10" s="1076" t="s">
        <v>1141</v>
      </c>
      <c r="C10"/>
    </row>
    <row r="11" spans="2:3" ht="18" customHeight="1" x14ac:dyDescent="0.2">
      <c r="B11" s="1079" t="s">
        <v>1142</v>
      </c>
      <c r="C11"/>
    </row>
    <row r="12" spans="2:3" ht="18" customHeight="1" x14ac:dyDescent="0.2">
      <c r="B12" s="1079" t="s">
        <v>1143</v>
      </c>
      <c r="C12"/>
    </row>
    <row r="13" spans="2:3" ht="18" customHeight="1" x14ac:dyDescent="0.2">
      <c r="B13" s="1079" t="s">
        <v>1144</v>
      </c>
      <c r="C13"/>
    </row>
    <row r="14" spans="2:3" ht="64.5" customHeight="1" x14ac:dyDescent="0.2">
      <c r="B14" s="1076" t="s">
        <v>1145</v>
      </c>
      <c r="C14"/>
    </row>
    <row r="15" spans="2:3" ht="30" customHeight="1" x14ac:dyDescent="0.2">
      <c r="B15" s="1080" t="s">
        <v>1146</v>
      </c>
      <c r="C15"/>
    </row>
    <row r="16" spans="2:3" ht="36.75" customHeight="1" x14ac:dyDescent="0.2">
      <c r="B16" s="1076" t="s">
        <v>1163</v>
      </c>
      <c r="C16"/>
    </row>
    <row r="17" spans="2:3" ht="21" customHeight="1" x14ac:dyDescent="0.2">
      <c r="B17" s="1085" t="s">
        <v>1165</v>
      </c>
      <c r="C17"/>
    </row>
    <row r="18" spans="2:3" ht="94.5" customHeight="1" x14ac:dyDescent="0.2">
      <c r="B18" s="1076" t="s">
        <v>1147</v>
      </c>
      <c r="C18"/>
    </row>
    <row r="19" spans="2:3" ht="42" customHeight="1" x14ac:dyDescent="0.2">
      <c r="B19" s="1076" t="s">
        <v>1166</v>
      </c>
      <c r="C19"/>
    </row>
    <row r="20" spans="2:3" ht="21" customHeight="1" x14ac:dyDescent="0.2">
      <c r="B20" s="1085" t="s">
        <v>1164</v>
      </c>
      <c r="C20"/>
    </row>
    <row r="21" spans="2:3" ht="30" customHeight="1" x14ac:dyDescent="0.25">
      <c r="B21" s="1084" t="s">
        <v>1148</v>
      </c>
      <c r="C21"/>
    </row>
    <row r="22" spans="2:3" ht="35.25" customHeight="1" x14ac:dyDescent="0.2">
      <c r="B22" s="1076" t="s">
        <v>1149</v>
      </c>
      <c r="C22"/>
    </row>
    <row r="23" spans="2:3" ht="24" customHeight="1" x14ac:dyDescent="0.2">
      <c r="B23" s="1076" t="s">
        <v>1150</v>
      </c>
      <c r="C23"/>
    </row>
    <row r="24" spans="2:3" ht="51.75" customHeight="1" x14ac:dyDescent="0.2">
      <c r="B24" s="1076" t="s">
        <v>1151</v>
      </c>
      <c r="C24"/>
    </row>
    <row r="25" spans="2:3" ht="30" customHeight="1" x14ac:dyDescent="0.25">
      <c r="B25" s="1084" t="s">
        <v>1152</v>
      </c>
      <c r="C25"/>
    </row>
    <row r="26" spans="2:3" ht="59.25" customHeight="1" x14ac:dyDescent="0.2">
      <c r="B26" s="1076" t="s">
        <v>1153</v>
      </c>
      <c r="C26"/>
    </row>
    <row r="27" spans="2:3" ht="30" customHeight="1" x14ac:dyDescent="0.25">
      <c r="B27" s="1084" t="s">
        <v>1154</v>
      </c>
      <c r="C27"/>
    </row>
    <row r="28" spans="2:3" ht="28.5" x14ac:dyDescent="0.2">
      <c r="B28" s="1076" t="s">
        <v>1155</v>
      </c>
      <c r="C28"/>
    </row>
    <row r="29" spans="2:3" ht="75" customHeight="1" x14ac:dyDescent="0.2">
      <c r="B29" s="1081" t="s">
        <v>1156</v>
      </c>
      <c r="C29"/>
    </row>
    <row r="30" spans="2:3" ht="30" customHeight="1" x14ac:dyDescent="0.25">
      <c r="B30" s="1084" t="s">
        <v>1157</v>
      </c>
      <c r="C30"/>
    </row>
    <row r="31" spans="2:3" ht="42.75" x14ac:dyDescent="0.2">
      <c r="B31" s="1076" t="s">
        <v>1177</v>
      </c>
      <c r="C31"/>
    </row>
    <row r="32" spans="2:3" ht="42.75" x14ac:dyDescent="0.2">
      <c r="B32" s="1082" t="s">
        <v>1158</v>
      </c>
      <c r="C32"/>
    </row>
    <row r="33" spans="2:3" ht="36" customHeight="1" x14ac:dyDescent="0.2">
      <c r="B33" s="1076" t="s">
        <v>1159</v>
      </c>
      <c r="C33"/>
    </row>
    <row r="34" spans="2:3" ht="30" customHeight="1" x14ac:dyDescent="0.2">
      <c r="B34" s="1076" t="s">
        <v>1169</v>
      </c>
      <c r="C34"/>
    </row>
    <row r="35" spans="2:3" ht="42" customHeight="1" x14ac:dyDescent="0.2">
      <c r="B35" s="1082" t="s">
        <v>1170</v>
      </c>
      <c r="C35"/>
    </row>
    <row r="36" spans="2:3" ht="48.75" customHeight="1" x14ac:dyDescent="0.2">
      <c r="B36" s="1076" t="s">
        <v>1160</v>
      </c>
      <c r="C36"/>
    </row>
    <row r="37" spans="2:3" ht="54.75" customHeight="1" x14ac:dyDescent="0.2">
      <c r="B37" s="1082" t="s">
        <v>1161</v>
      </c>
      <c r="C37"/>
    </row>
    <row r="38" spans="2:3" ht="30" customHeight="1" x14ac:dyDescent="0.2">
      <c r="B38" s="1086" t="s">
        <v>1167</v>
      </c>
      <c r="C38"/>
    </row>
    <row r="39" spans="2:3" ht="18" customHeight="1" x14ac:dyDescent="0.2">
      <c r="B39" s="1085" t="s">
        <v>1168</v>
      </c>
      <c r="C39"/>
    </row>
    <row r="40" spans="2:3" ht="48" customHeight="1" x14ac:dyDescent="0.2">
      <c r="B40" s="1083" t="s">
        <v>1162</v>
      </c>
      <c r="C40"/>
    </row>
  </sheetData>
  <sheetProtection selectLockedCells="1" selectUnlockedCells="1"/>
  <dataValidations count="2">
    <dataValidation type="whole" operator="lessThan" allowBlank="1" showInputMessage="1" showErrorMessage="1" sqref="B32:B38 B18:B19 B40 B21:B30 B5:B16 B1:B2 B3" xr:uid="{9856914E-9FB3-4311-A0EC-7F3BA6913815}">
      <formula1>-9999</formula1>
    </dataValidation>
    <dataValidation operator="lessThan" allowBlank="1" showInputMessage="1" showErrorMessage="1" sqref="B31 B4" xr:uid="{B3DCE434-7695-495B-8E59-2DB7EC55F142}"/>
  </dataValidations>
  <hyperlinks>
    <hyperlink ref="B20" r:id="rId1" display="mailto:greenfilming@filminstitut.at" xr:uid="{0F27C05E-3098-4411-BAE0-D1BED7BB60DA}"/>
    <hyperlink ref="B17" r:id="rId2" display="https://filminstitut.at/foerderung/green-filming" xr:uid="{8AA12BE3-2A8F-43C5-B275-4F8302631813}"/>
    <hyperlink ref="B39"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68"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C52" sqref="C52"/>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653" t="str">
        <f>Stammblatt!A1</f>
        <v>Projekttitel</v>
      </c>
      <c r="B1" s="666"/>
      <c r="C1" s="666"/>
      <c r="D1" s="666"/>
      <c r="E1" s="666"/>
      <c r="F1" s="666"/>
      <c r="G1" s="666"/>
      <c r="H1" s="283"/>
      <c r="I1" s="666"/>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row>
    <row r="2" spans="1:52" ht="27" customHeight="1" x14ac:dyDescent="0.2">
      <c r="A2" s="666"/>
      <c r="B2" s="666"/>
      <c r="C2" s="998">
        <f>Stammblatt!B11</f>
        <v>0</v>
      </c>
      <c r="D2" s="273" t="str">
        <f>Stammblatt!B34</f>
        <v>A</v>
      </c>
      <c r="E2" s="273" t="str">
        <f>Stammblatt!B35</f>
        <v>B</v>
      </c>
      <c r="F2" s="273" t="str">
        <f>Stammblatt!B36</f>
        <v>C</v>
      </c>
      <c r="G2" s="724" t="s">
        <v>288</v>
      </c>
      <c r="H2" s="283"/>
      <c r="I2" s="724" t="s">
        <v>1074</v>
      </c>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row>
    <row r="3" spans="1:52" x14ac:dyDescent="0.2">
      <c r="A3" s="280" t="s">
        <v>0</v>
      </c>
      <c r="B3" s="281" t="s">
        <v>1</v>
      </c>
      <c r="C3" s="994">
        <f>IF(Zusammenfassung!D5=0,0,Zusammenfassung!D5/'CONTROLLING-DATA'!$C$15)</f>
        <v>0</v>
      </c>
      <c r="D3" s="994">
        <f>IF(Zusammenfassung!V5=0,0,Zusammenfassung!V5/'CONTROLLING-DATA'!$D$15)</f>
        <v>0</v>
      </c>
      <c r="E3" s="994">
        <f>IF(Zusammenfassung!X5=0,0,Zusammenfassung!X5/'CONTROLLING-DATA'!$E$15)</f>
        <v>0</v>
      </c>
      <c r="F3" s="994">
        <f>IF(Zusammenfassung!Z5=0,0,Zusammenfassung!Z5/'CONTROLLING-DATA'!$F$15)</f>
        <v>0</v>
      </c>
      <c r="G3" s="994">
        <f>IF(Zusammenfassung!AC5=0,0,Zusammenfassung!AC5/'CONTROLLING-DATA'!$G$15)</f>
        <v>0</v>
      </c>
      <c r="H3" s="283"/>
      <c r="I3" s="996">
        <v>3.5000000000000003E-2</v>
      </c>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row>
    <row r="4" spans="1:52" x14ac:dyDescent="0.2">
      <c r="A4" s="280" t="s">
        <v>2</v>
      </c>
      <c r="B4" s="286" t="s">
        <v>3</v>
      </c>
      <c r="C4" s="994">
        <f>IF(Zusammenfassung!D6=0,0,Zusammenfassung!D6/'CONTROLLING-DATA'!$C$15)</f>
        <v>0</v>
      </c>
      <c r="D4" s="994">
        <f>IF(Zusammenfassung!V6=0,0,Zusammenfassung!V6/'CONTROLLING-DATA'!$D$15)</f>
        <v>0</v>
      </c>
      <c r="E4" s="994">
        <f>IF(Zusammenfassung!X6=0,0,Zusammenfassung!X6/'CONTROLLING-DATA'!$E$15)</f>
        <v>0</v>
      </c>
      <c r="F4" s="994">
        <f>IF(Zusammenfassung!Z6=0,0,Zusammenfassung!Z6/'CONTROLLING-DATA'!$F$15)</f>
        <v>0</v>
      </c>
      <c r="G4" s="994">
        <f>IF(Zusammenfassung!AC6=0,0,Zusammenfassung!AC6/'CONTROLLING-DATA'!$G$15)</f>
        <v>0</v>
      </c>
      <c r="H4" s="283"/>
      <c r="I4" s="996">
        <v>0.05</v>
      </c>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row>
    <row r="5" spans="1:52" x14ac:dyDescent="0.2">
      <c r="A5" s="280" t="s">
        <v>4</v>
      </c>
      <c r="B5" s="286" t="s">
        <v>5</v>
      </c>
      <c r="C5" s="994">
        <f ca="1">IF(Zusammenfassung!D7=0,0,Zusammenfassung!D7/'CONTROLLING-DATA'!$C$15)</f>
        <v>0</v>
      </c>
      <c r="D5" s="994">
        <f>IF(Zusammenfassung!V7=0,0,Zusammenfassung!V7/'CONTROLLING-DATA'!$D$15)</f>
        <v>0</v>
      </c>
      <c r="E5" s="994">
        <f>IF(Zusammenfassung!X7=0,0,Zusammenfassung!X7/'CONTROLLING-DATA'!$E$15)</f>
        <v>0</v>
      </c>
      <c r="F5" s="994">
        <f>IF(Zusammenfassung!Z7=0,0,Zusammenfassung!Z7/'CONTROLLING-DATA'!$F$15)</f>
        <v>0</v>
      </c>
      <c r="G5" s="994">
        <f ca="1">IF(Zusammenfassung!AC7=0,0,Zusammenfassung!AC7/'CONTROLLING-DATA'!$G$15)</f>
        <v>0</v>
      </c>
      <c r="H5" s="283"/>
      <c r="I5" s="996">
        <v>0.55000000000000004</v>
      </c>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row>
    <row r="6" spans="1:52" x14ac:dyDescent="0.2">
      <c r="A6" s="280" t="s">
        <v>6</v>
      </c>
      <c r="B6" s="286" t="s">
        <v>7</v>
      </c>
      <c r="C6" s="994">
        <f>IF(Zusammenfassung!D8=0,0,Zusammenfassung!D8/'CONTROLLING-DATA'!$C$15)</f>
        <v>0</v>
      </c>
      <c r="D6" s="994">
        <f>IF(Zusammenfassung!V8=0,0,Zusammenfassung!V8/'CONTROLLING-DATA'!$D$15)</f>
        <v>0</v>
      </c>
      <c r="E6" s="994">
        <f>IF(Zusammenfassung!X8=0,0,Zusammenfassung!X8/'CONTROLLING-DATA'!$E$15)</f>
        <v>0</v>
      </c>
      <c r="F6" s="994">
        <f>IF(Zusammenfassung!Z8=0,0,Zusammenfassung!Z8/'CONTROLLING-DATA'!$F$15)</f>
        <v>0</v>
      </c>
      <c r="G6" s="994">
        <f>IF(Zusammenfassung!AC8=0,0,Zusammenfassung!AC8/'CONTROLLING-DATA'!$G$15)</f>
        <v>0</v>
      </c>
      <c r="H6" s="283"/>
      <c r="I6" s="996">
        <v>4.4999999999999998E-2</v>
      </c>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row>
    <row r="7" spans="1:52" x14ac:dyDescent="0.2">
      <c r="A7" s="280" t="s">
        <v>8</v>
      </c>
      <c r="B7" s="286" t="s">
        <v>839</v>
      </c>
      <c r="C7" s="994">
        <f>IF(Zusammenfassung!D9=0,0,Zusammenfassung!D9/'CONTROLLING-DATA'!$C$15)</f>
        <v>0</v>
      </c>
      <c r="D7" s="994">
        <f>IF(Zusammenfassung!V9=0,0,Zusammenfassung!V9/'CONTROLLING-DATA'!$D$15)</f>
        <v>0</v>
      </c>
      <c r="E7" s="994">
        <f>IF(Zusammenfassung!X9=0,0,Zusammenfassung!X9/'CONTROLLING-DATA'!$E$15)</f>
        <v>0</v>
      </c>
      <c r="F7" s="994">
        <f>IF(Zusammenfassung!Z9=0,0,Zusammenfassung!Z9/'CONTROLLING-DATA'!$F$15)</f>
        <v>0</v>
      </c>
      <c r="G7" s="994">
        <f>IF(Zusammenfassung!AC9=0,0,Zusammenfassung!AC9/'CONTROLLING-DATA'!$G$15)</f>
        <v>0</v>
      </c>
      <c r="H7" s="283"/>
      <c r="I7" s="996">
        <v>0.05</v>
      </c>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row>
    <row r="8" spans="1:52" x14ac:dyDescent="0.2">
      <c r="A8" s="280" t="s">
        <v>9</v>
      </c>
      <c r="B8" s="286" t="s">
        <v>10</v>
      </c>
      <c r="C8" s="994">
        <f>IF(Zusammenfassung!D10=0,0,Zusammenfassung!D10/'CONTROLLING-DATA'!$C$15)</f>
        <v>0</v>
      </c>
      <c r="D8" s="994">
        <f>IF(Zusammenfassung!V10=0,0,Zusammenfassung!V10/'CONTROLLING-DATA'!$D$15)</f>
        <v>0</v>
      </c>
      <c r="E8" s="994">
        <f>IF(Zusammenfassung!X10=0,0,Zusammenfassung!X10/'CONTROLLING-DATA'!$E$15)</f>
        <v>0</v>
      </c>
      <c r="F8" s="994">
        <f>IF(Zusammenfassung!Z10=0,0,Zusammenfassung!Z10/'CONTROLLING-DATA'!$F$15)</f>
        <v>0</v>
      </c>
      <c r="G8" s="994">
        <f>IF(Zusammenfassung!AC10=0,0,Zusammenfassung!AC10/'CONTROLLING-DATA'!$G$15)</f>
        <v>0</v>
      </c>
      <c r="H8" s="283"/>
      <c r="I8" s="996">
        <v>0.05</v>
      </c>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row>
    <row r="9" spans="1:52" x14ac:dyDescent="0.2">
      <c r="A9" s="280" t="s">
        <v>11</v>
      </c>
      <c r="B9" s="286" t="s">
        <v>12</v>
      </c>
      <c r="C9" s="994">
        <f>IF(Zusammenfassung!D11=0,0,Zusammenfassung!D11/'CONTROLLING-DATA'!$C$15)</f>
        <v>0</v>
      </c>
      <c r="D9" s="994">
        <f>IF(Zusammenfassung!V11=0,0,Zusammenfassung!V11/'CONTROLLING-DATA'!$D$15)</f>
        <v>0</v>
      </c>
      <c r="E9" s="994">
        <f>IF(Zusammenfassung!X11=0,0,Zusammenfassung!X11/'CONTROLLING-DATA'!$E$15)</f>
        <v>0</v>
      </c>
      <c r="F9" s="994">
        <f>IF(Zusammenfassung!Z11=0,0,Zusammenfassung!Z11/'CONTROLLING-DATA'!$F$15)</f>
        <v>0</v>
      </c>
      <c r="G9" s="994">
        <f>IF(Zusammenfassung!AC11=0,0,Zusammenfassung!AC11/'CONTROLLING-DATA'!$G$15)</f>
        <v>0</v>
      </c>
      <c r="H9" s="283"/>
      <c r="I9" s="996">
        <v>0.05</v>
      </c>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row>
    <row r="10" spans="1:52" x14ac:dyDescent="0.2">
      <c r="A10" s="280" t="s">
        <v>13</v>
      </c>
      <c r="B10" s="286" t="s">
        <v>14</v>
      </c>
      <c r="C10" s="994">
        <f>IF(Zusammenfassung!D12=0,0,Zusammenfassung!D12/'CONTROLLING-DATA'!$C$15)</f>
        <v>0</v>
      </c>
      <c r="D10" s="994">
        <f>IF(Zusammenfassung!V12=0,0,Zusammenfassung!V12/'CONTROLLING-DATA'!$D$15)</f>
        <v>0</v>
      </c>
      <c r="E10" s="994">
        <f>IF(Zusammenfassung!X12=0,0,Zusammenfassung!X12/'CONTROLLING-DATA'!$E$15)</f>
        <v>0</v>
      </c>
      <c r="F10" s="994">
        <f>IF(Zusammenfassung!Z12=0,0,Zusammenfassung!Z12/'CONTROLLING-DATA'!$F$15)</f>
        <v>0</v>
      </c>
      <c r="G10" s="994">
        <f>IF(Zusammenfassung!AC12=0,0,Zusammenfassung!AC12/'CONTROLLING-DATA'!$G$15)</f>
        <v>0</v>
      </c>
      <c r="H10" s="283"/>
      <c r="I10" s="996">
        <v>0.05</v>
      </c>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row>
    <row r="11" spans="1:52" x14ac:dyDescent="0.2">
      <c r="A11" s="280" t="s">
        <v>15</v>
      </c>
      <c r="B11" s="286" t="s">
        <v>16</v>
      </c>
      <c r="C11" s="994">
        <f>IF(Zusammenfassung!D13=0,0,Zusammenfassung!D13/'CONTROLLING-DATA'!$C$15)</f>
        <v>0</v>
      </c>
      <c r="D11" s="994">
        <f>IF(Zusammenfassung!V13=0,0,Zusammenfassung!V13/'CONTROLLING-DATA'!$D$15)</f>
        <v>0</v>
      </c>
      <c r="E11" s="994">
        <f>IF(Zusammenfassung!X13=0,0,Zusammenfassung!X13/'CONTROLLING-DATA'!$E$15)</f>
        <v>0</v>
      </c>
      <c r="F11" s="994">
        <f>IF(Zusammenfassung!Z13=0,0,Zusammenfassung!Z13/'CONTROLLING-DATA'!$F$15)</f>
        <v>0</v>
      </c>
      <c r="G11" s="994">
        <f>IF(Zusammenfassung!AC13=0,0,Zusammenfassung!AC13/'CONTROLLING-DATA'!$G$15)</f>
        <v>0</v>
      </c>
      <c r="H11" s="283"/>
      <c r="I11" s="996">
        <v>1.2500000000000001E-2</v>
      </c>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row>
    <row r="12" spans="1:52" x14ac:dyDescent="0.2">
      <c r="A12" s="280" t="s">
        <v>17</v>
      </c>
      <c r="B12" s="286" t="s">
        <v>18</v>
      </c>
      <c r="C12" s="994">
        <f>IF(Zusammenfassung!D14=0,0,Zusammenfassung!D14/'CONTROLLING-DATA'!$C$15)</f>
        <v>0</v>
      </c>
      <c r="D12" s="994">
        <f>IF(Zusammenfassung!V14=0,0,Zusammenfassung!V14/'CONTROLLING-DATA'!$D$15)</f>
        <v>0</v>
      </c>
      <c r="E12" s="994">
        <f>IF(Zusammenfassung!X14=0,0,Zusammenfassung!X14/'CONTROLLING-DATA'!$E$15)</f>
        <v>0</v>
      </c>
      <c r="F12" s="994">
        <f>IF(Zusammenfassung!Z14=0,0,Zusammenfassung!Z14/'CONTROLLING-DATA'!$F$15)</f>
        <v>0</v>
      </c>
      <c r="G12" s="994">
        <f>IF(Zusammenfassung!AC14=0,0,Zusammenfassung!AC14/'CONTROLLING-DATA'!$G$15)</f>
        <v>0</v>
      </c>
      <c r="H12" s="283"/>
      <c r="I12" s="996">
        <v>0.1</v>
      </c>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row>
    <row r="13" spans="1:52" x14ac:dyDescent="0.2">
      <c r="A13" s="280" t="s">
        <v>19</v>
      </c>
      <c r="B13" s="286" t="s">
        <v>20</v>
      </c>
      <c r="C13" s="994">
        <f>IF(Zusammenfassung!D15=0,0,Zusammenfassung!D15/'CONTROLLING-DATA'!$C$15)</f>
        <v>0</v>
      </c>
      <c r="D13" s="994">
        <f>IF(Zusammenfassung!V15=0,0,Zusammenfassung!V15/'CONTROLLING-DATA'!$D$15)</f>
        <v>0</v>
      </c>
      <c r="E13" s="994">
        <f>IF(Zusammenfassung!X15=0,0,Zusammenfassung!X15/'CONTROLLING-DATA'!$E$15)</f>
        <v>0</v>
      </c>
      <c r="F13" s="994">
        <f>IF(Zusammenfassung!Z15=0,0,Zusammenfassung!Z15/'CONTROLLING-DATA'!$F$15)</f>
        <v>0</v>
      </c>
      <c r="G13" s="994">
        <f>IF(Zusammenfassung!AC15=0,0,Zusammenfassung!AC15/'CONTROLLING-DATA'!$G$15)</f>
        <v>0</v>
      </c>
      <c r="H13" s="283"/>
      <c r="I13" s="996">
        <v>7.4999999999999997E-3</v>
      </c>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row>
    <row r="14" spans="1:52" ht="13.5" thickBot="1" x14ac:dyDescent="0.25">
      <c r="A14" s="280" t="s">
        <v>21</v>
      </c>
      <c r="B14" s="286" t="s">
        <v>22</v>
      </c>
      <c r="C14" s="994">
        <f>IF(Zusammenfassung!D16=0,0,Zusammenfassung!D16/'CONTROLLING-DATA'!$C$15)</f>
        <v>0</v>
      </c>
      <c r="D14" s="994">
        <f>IF(Zusammenfassung!V16=0,0,Zusammenfassung!V16/'CONTROLLING-DATA'!$D$15)</f>
        <v>0</v>
      </c>
      <c r="E14" s="994">
        <f>IF(Zusammenfassung!X16=0,0,Zusammenfassung!X16/'CONTROLLING-DATA'!$E$15)</f>
        <v>0</v>
      </c>
      <c r="F14" s="994">
        <f>IF(Zusammenfassung!Z16=0,0,Zusammenfassung!Z16/'CONTROLLING-DATA'!$F$15)</f>
        <v>0</v>
      </c>
      <c r="G14" s="994">
        <f>IF(Zusammenfassung!AC16=0,0,Zusammenfassung!AC16/'CONTROLLING-DATA'!$G$15)</f>
        <v>0</v>
      </c>
      <c r="H14" s="283"/>
      <c r="I14" s="996"/>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row>
    <row r="15" spans="1:52" ht="13.5" thickBot="1" x14ac:dyDescent="0.25">
      <c r="A15" s="20" t="s">
        <v>23</v>
      </c>
      <c r="B15" s="21" t="s">
        <v>260</v>
      </c>
      <c r="C15" s="146">
        <f ca="1">NFK</f>
        <v>0</v>
      </c>
      <c r="D15" s="146">
        <f>Zusammenfassung!V17</f>
        <v>0</v>
      </c>
      <c r="E15" s="146">
        <f>Zusammenfassung!X17</f>
        <v>0</v>
      </c>
      <c r="F15" s="146">
        <f>Zusammenfassung!Z17</f>
        <v>0</v>
      </c>
      <c r="G15" s="146">
        <f ca="1">NFK_ges</f>
        <v>0</v>
      </c>
      <c r="H15" s="283"/>
      <c r="I15" s="997">
        <f>SUM(I3:I14)</f>
        <v>1.0000000000000002</v>
      </c>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row>
    <row r="16" spans="1:52" x14ac:dyDescent="0.2">
      <c r="A16" s="280" t="s">
        <v>24</v>
      </c>
      <c r="B16" s="286" t="s">
        <v>25</v>
      </c>
      <c r="C16" s="994">
        <f ca="1">IF(Zusammenfassung!D18=0,0,Zusammenfassung!D18/'CONTROLLING-DATA'!$C$15)</f>
        <v>0</v>
      </c>
      <c r="D16" s="994">
        <f>IF(Zusammenfassung!V18=0,0,Zusammenfassung!V18/'CONTROLLING-DATA'!$D$15)</f>
        <v>0</v>
      </c>
      <c r="E16" s="994">
        <f>IF(Zusammenfassung!X18=0,0,Zusammenfassung!X18/'CONTROLLING-DATA'!$D$15)</f>
        <v>0</v>
      </c>
      <c r="F16" s="994">
        <f>IF(Zusammenfassung!Z18=0,0,Zusammenfassung!Z18/'CONTROLLING-DATA'!$D$15)</f>
        <v>0</v>
      </c>
      <c r="G16" s="994">
        <f ca="1">IF(Zusammenfassung!AC18=0,0,Zusammenfassung!AC18/'CONTROLLING-DATA'!$G$15)</f>
        <v>0</v>
      </c>
      <c r="H16" s="283"/>
      <c r="I16" s="996">
        <v>0.09</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row>
    <row r="17" spans="1:52" x14ac:dyDescent="0.2">
      <c r="A17" s="280" t="s">
        <v>26</v>
      </c>
      <c r="B17" s="286" t="s">
        <v>30</v>
      </c>
      <c r="C17" s="994">
        <f>IF(Zusammenfassung!D19=0,0,Zusammenfassung!D19/'CONTROLLING-DATA'!$C$15)</f>
        <v>0</v>
      </c>
      <c r="D17" s="994">
        <f>IF(Zusammenfassung!V19=0,0,Zusammenfassung!V19/'CONTROLLING-DATA'!$D$15)</f>
        <v>0</v>
      </c>
      <c r="E17" s="994">
        <f>IF(Zusammenfassung!X19=0,0,Zusammenfassung!X19/'CONTROLLING-DATA'!$D$15)</f>
        <v>0</v>
      </c>
      <c r="F17" s="994">
        <f>IF(Zusammenfassung!Z19=0,0,Zusammenfassung!Z19/'CONTROLLING-DATA'!$D$15)</f>
        <v>0</v>
      </c>
      <c r="G17" s="994">
        <f>IF(Zusammenfassung!AC19=0,0,Zusammenfassung!AC19/'CONTROLLING-DATA'!$G$15)</f>
        <v>0</v>
      </c>
      <c r="H17" s="283"/>
      <c r="I17" s="996">
        <v>3.5000000000000003E-2</v>
      </c>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row>
    <row r="18" spans="1:52" x14ac:dyDescent="0.2">
      <c r="A18" s="280" t="s">
        <v>27</v>
      </c>
      <c r="B18" s="286" t="s">
        <v>31</v>
      </c>
      <c r="C18" s="994">
        <f>IF(Zusammenfassung!D20=0,0,Zusammenfassung!D20/'CONTROLLING-DATA'!$C$15)</f>
        <v>0</v>
      </c>
      <c r="D18" s="994">
        <f>IF(Zusammenfassung!V20=0,0,Zusammenfassung!V20/'CONTROLLING-DATA'!$D$15)</f>
        <v>0</v>
      </c>
      <c r="E18" s="994">
        <f>IF(Zusammenfassung!X20=0,0,Zusammenfassung!X20/'CONTROLLING-DATA'!$D$15)</f>
        <v>0</v>
      </c>
      <c r="F18" s="994">
        <f>IF(Zusammenfassung!Z20=0,0,Zusammenfassung!Z20/'CONTROLLING-DATA'!$D$15)</f>
        <v>0</v>
      </c>
      <c r="G18" s="994">
        <f>IF(Zusammenfassung!AC20=0,0,Zusammenfassung!AC20/'CONTROLLING-DATA'!$G$15)</f>
        <v>0</v>
      </c>
      <c r="H18" s="283"/>
      <c r="I18" s="996">
        <v>1.4999999999999999E-2</v>
      </c>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row>
    <row r="19" spans="1:52" x14ac:dyDescent="0.2">
      <c r="A19" s="280" t="s">
        <v>28</v>
      </c>
      <c r="B19" s="286" t="s">
        <v>125</v>
      </c>
      <c r="C19" s="994">
        <f ca="1">IF(Zusammenfassung!D21=0,0,Zusammenfassung!D21/'CONTROLLING-DATA'!$C$15)</f>
        <v>0</v>
      </c>
      <c r="D19" s="994">
        <f>IF(Zusammenfassung!V21=0,0,Zusammenfassung!V21/'CONTROLLING-DATA'!$D$15)</f>
        <v>0</v>
      </c>
      <c r="E19" s="994">
        <f>IF(Zusammenfassung!X21=0,0,Zusammenfassung!X21/'CONTROLLING-DATA'!$D$15)</f>
        <v>0</v>
      </c>
      <c r="F19" s="994">
        <f>IF(Zusammenfassung!Z21=0,0,Zusammenfassung!Z21/'CONTROLLING-DATA'!$D$15)</f>
        <v>0</v>
      </c>
      <c r="G19" s="994">
        <f ca="1">IF(Zusammenfassung!AC21=0,0,Zusammenfassung!AC21/'CONTROLLING-DATA'!$G$15)</f>
        <v>0</v>
      </c>
      <c r="H19" s="283"/>
      <c r="I19" s="996">
        <v>0.08</v>
      </c>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row>
    <row r="20" spans="1:52" ht="13.5" thickBot="1" x14ac:dyDescent="0.25">
      <c r="A20" s="280" t="s">
        <v>29</v>
      </c>
      <c r="B20" s="728" t="s">
        <v>940</v>
      </c>
      <c r="C20" s="293"/>
      <c r="D20" s="666"/>
      <c r="E20" s="666"/>
      <c r="F20" s="666"/>
      <c r="G20" s="666"/>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row>
    <row r="21" spans="1:52" ht="13.5" thickBot="1" x14ac:dyDescent="0.25">
      <c r="A21" s="20" t="s">
        <v>846</v>
      </c>
      <c r="B21" s="21" t="s">
        <v>261</v>
      </c>
      <c r="C21" s="146">
        <f ca="1">GHSTK</f>
        <v>0</v>
      </c>
      <c r="D21" s="146">
        <f>GHSTK_A</f>
        <v>0</v>
      </c>
      <c r="E21" s="146">
        <f>GHSTK_B</f>
        <v>0</v>
      </c>
      <c r="F21" s="146">
        <f>GHSTK_C</f>
        <v>0</v>
      </c>
      <c r="G21" s="146">
        <f ca="1">GHSTK_ges</f>
        <v>0</v>
      </c>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row>
    <row r="22" spans="1:52" x14ac:dyDescent="0.2">
      <c r="A22" s="283"/>
      <c r="B22" s="501"/>
      <c r="C22" s="501"/>
      <c r="D22" s="501"/>
      <c r="E22" s="501"/>
      <c r="F22" s="501"/>
      <c r="G22" s="501"/>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row>
    <row r="23" spans="1:52" x14ac:dyDescent="0.2">
      <c r="A23" s="283"/>
      <c r="B23" s="501"/>
      <c r="C23" s="501"/>
      <c r="D23" s="501"/>
      <c r="E23" s="501"/>
      <c r="F23" s="501"/>
      <c r="G23" s="501"/>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row>
    <row r="24" spans="1:52" x14ac:dyDescent="0.2">
      <c r="A24" s="1065" t="s">
        <v>1075</v>
      </c>
      <c r="B24" s="666"/>
      <c r="C24" s="666"/>
      <c r="D24" s="666"/>
      <c r="E24" s="666"/>
      <c r="F24" s="666"/>
      <c r="G24" s="666"/>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row>
    <row r="25" spans="1:52" x14ac:dyDescent="0.2">
      <c r="A25" s="283"/>
      <c r="B25" s="666"/>
      <c r="C25" s="666"/>
      <c r="D25" s="666"/>
      <c r="E25" s="666"/>
      <c r="F25" s="666"/>
      <c r="G25" s="666"/>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row>
    <row r="26" spans="1:52" x14ac:dyDescent="0.2">
      <c r="A26" s="1000" t="s">
        <v>4</v>
      </c>
      <c r="B26" s="296" t="s">
        <v>5</v>
      </c>
      <c r="C26" s="1001">
        <f ca="1">Zusammenfassung!D7</f>
        <v>0</v>
      </c>
      <c r="D26" s="666"/>
      <c r="E26" s="666"/>
      <c r="F26" s="666"/>
      <c r="G26" s="666"/>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row>
    <row r="27" spans="1:52" x14ac:dyDescent="0.2">
      <c r="A27" s="283"/>
      <c r="B27" s="296"/>
      <c r="C27" s="1001"/>
      <c r="D27" s="666"/>
      <c r="E27" s="666"/>
      <c r="F27" s="666"/>
      <c r="G27" s="666"/>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row>
    <row r="28" spans="1:52" x14ac:dyDescent="0.2">
      <c r="A28" s="283"/>
      <c r="B28" s="501" t="s">
        <v>1076</v>
      </c>
      <c r="C28" s="283">
        <f>SUM('Kalkulation Herstellungskosten'!G29:G44)</f>
        <v>0</v>
      </c>
      <c r="D28" s="994">
        <f ca="1">IF($C$26=0,0,C28/$C$26)</f>
        <v>0</v>
      </c>
      <c r="E28" s="666"/>
      <c r="F28" s="666"/>
      <c r="G28" s="666"/>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row>
    <row r="29" spans="1:52" x14ac:dyDescent="0.2">
      <c r="A29" s="283"/>
      <c r="B29" s="501" t="s">
        <v>1077</v>
      </c>
      <c r="C29" s="283">
        <f>SUM('Kalkulation Herstellungskosten'!G45:G77)</f>
        <v>0</v>
      </c>
      <c r="D29" s="994">
        <f ca="1">IF($C$26=0,0,C29/$C$26)</f>
        <v>0</v>
      </c>
      <c r="E29" s="666"/>
      <c r="F29" s="666"/>
      <c r="G29" s="666"/>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row>
    <row r="30" spans="1:52" x14ac:dyDescent="0.2">
      <c r="A30" s="283"/>
      <c r="B30" s="501" t="s">
        <v>1078</v>
      </c>
      <c r="C30" s="283">
        <f>SUM('Kalkulation Herstellungskosten'!G78:G111)</f>
        <v>0</v>
      </c>
      <c r="D30" s="994">
        <f t="shared" ref="D30:D41" ca="1" si="0">IF($C$26=0,0,C30/$C$26)</f>
        <v>0</v>
      </c>
      <c r="E30" s="666"/>
      <c r="F30" s="666"/>
      <c r="G30" s="666"/>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row>
    <row r="31" spans="1:52" x14ac:dyDescent="0.2">
      <c r="A31" s="283"/>
      <c r="B31" s="501" t="s">
        <v>1079</v>
      </c>
      <c r="C31" s="283">
        <f>SUM('Kalkulation Herstellungskosten'!G112:G131,'Kalkulation Herstellungskosten'!G134:G204)</f>
        <v>0</v>
      </c>
      <c r="D31" s="994">
        <f t="shared" ca="1" si="0"/>
        <v>0</v>
      </c>
      <c r="E31" s="666"/>
      <c r="F31" s="666"/>
      <c r="G31" s="666"/>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row>
    <row r="32" spans="1:52" x14ac:dyDescent="0.2">
      <c r="A32" s="283"/>
      <c r="B32" s="501"/>
      <c r="C32" s="283"/>
      <c r="D32" s="666"/>
      <c r="E32" s="666"/>
      <c r="F32" s="666"/>
      <c r="G32" s="666"/>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row>
    <row r="33" spans="1:52" x14ac:dyDescent="0.2">
      <c r="A33" s="283"/>
      <c r="B33" s="501" t="s">
        <v>152</v>
      </c>
      <c r="C33" s="283">
        <f>'Kalkulation Herstellungskosten'!G208</f>
        <v>0</v>
      </c>
      <c r="D33" s="994">
        <f t="shared" ca="1" si="0"/>
        <v>0</v>
      </c>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row>
    <row r="34" spans="1:52" x14ac:dyDescent="0.2">
      <c r="A34" s="283"/>
      <c r="B34" s="501" t="s">
        <v>1081</v>
      </c>
      <c r="C34" s="283">
        <f>'Kalkulation Herstellungskosten'!G222</f>
        <v>0</v>
      </c>
      <c r="D34" s="994">
        <f t="shared" ca="1" si="0"/>
        <v>0</v>
      </c>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row>
    <row r="35" spans="1:52" x14ac:dyDescent="0.2">
      <c r="A35" s="283"/>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row>
    <row r="36" spans="1:52" x14ac:dyDescent="0.2">
      <c r="A36" s="283"/>
      <c r="B36" s="501" t="s">
        <v>1082</v>
      </c>
      <c r="C36" s="283">
        <f>'Kalkulation Herstellungskosten'!G218</f>
        <v>0</v>
      </c>
      <c r="D36" s="994">
        <f t="shared" ca="1" si="0"/>
        <v>0</v>
      </c>
      <c r="E36" s="1003">
        <f>IF(C36=0,0,C36/SUM(C28:C33))</f>
        <v>0</v>
      </c>
      <c r="F36" s="1004" t="s">
        <v>1089</v>
      </c>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row>
    <row r="37" spans="1:52" x14ac:dyDescent="0.2">
      <c r="A37" s="283"/>
      <c r="B37" s="501" t="s">
        <v>1083</v>
      </c>
      <c r="C37" s="283">
        <f>'Kalkulation Herstellungskosten'!G221</f>
        <v>0</v>
      </c>
      <c r="D37" s="994">
        <f t="shared" ca="1" si="0"/>
        <v>0</v>
      </c>
      <c r="E37" s="1003">
        <f>IF(C37=0,0,C37/SUM(C28:C33))</f>
        <v>0</v>
      </c>
      <c r="F37" s="1004" t="s">
        <v>1089</v>
      </c>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row>
    <row r="38" spans="1:52" x14ac:dyDescent="0.2">
      <c r="A38" s="283"/>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row>
    <row r="39" spans="1:52" x14ac:dyDescent="0.2">
      <c r="A39" s="283"/>
      <c r="B39" s="501" t="s">
        <v>1080</v>
      </c>
      <c r="C39" s="283">
        <f ca="1">'Kalkulation Herstellungskosten'!G285</f>
        <v>0</v>
      </c>
      <c r="D39" s="994">
        <f t="shared" ca="1" si="0"/>
        <v>0</v>
      </c>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row>
    <row r="40" spans="1:52" x14ac:dyDescent="0.2">
      <c r="A40" s="283"/>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row>
    <row r="41" spans="1:52" x14ac:dyDescent="0.2">
      <c r="A41" s="283"/>
      <c r="B41" s="1002" t="s">
        <v>254</v>
      </c>
      <c r="C41" s="1002">
        <f ca="1">SUM(C28:C40)</f>
        <v>0</v>
      </c>
      <c r="D41" s="1059">
        <f t="shared" ca="1" si="0"/>
        <v>0</v>
      </c>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row>
    <row r="42" spans="1:52" x14ac:dyDescent="0.2">
      <c r="A42" s="283"/>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row>
    <row r="43" spans="1:52" x14ac:dyDescent="0.2">
      <c r="A43" s="283"/>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row>
    <row r="44" spans="1:52" x14ac:dyDescent="0.2">
      <c r="A44" s="1065" t="s">
        <v>1086</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row>
    <row r="45" spans="1:52" x14ac:dyDescent="0.2">
      <c r="A45" s="283"/>
      <c r="B45" s="283" t="s">
        <v>1084</v>
      </c>
      <c r="C45" s="283">
        <f ca="1">ILV!C49</f>
        <v>0</v>
      </c>
      <c r="D45" s="994">
        <f ca="1">IF($C$21=0,0,C45/$C$21)</f>
        <v>0</v>
      </c>
      <c r="E45" s="1004" t="s">
        <v>1087</v>
      </c>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row>
    <row r="46" spans="1:52" x14ac:dyDescent="0.2">
      <c r="A46" s="283"/>
      <c r="B46" s="283" t="s">
        <v>1085</v>
      </c>
      <c r="C46" s="283">
        <f ca="1">SUM(ILV!C15:C17,ILV!C36:C43,ILV!C47)</f>
        <v>0</v>
      </c>
      <c r="D46" s="283"/>
      <c r="E46" s="1003">
        <f ca="1">IF(C45=0,0,C46/C45)</f>
        <v>0</v>
      </c>
      <c r="F46" s="1004" t="s">
        <v>1088</v>
      </c>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row>
    <row r="47" spans="1:52" x14ac:dyDescent="0.2">
      <c r="A47" s="283"/>
      <c r="B47" s="283" t="s">
        <v>939</v>
      </c>
      <c r="C47" s="283">
        <f ca="1">ILV!C51</f>
        <v>0</v>
      </c>
      <c r="D47" s="994">
        <f ca="1">IF($C$21=0,0,C47/$C$21)</f>
        <v>0</v>
      </c>
      <c r="E47" s="1004" t="s">
        <v>1087</v>
      </c>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row>
    <row r="48" spans="1:52" x14ac:dyDescent="0.2">
      <c r="A48" s="283"/>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row>
    <row r="49" spans="1:52" x14ac:dyDescent="0.2">
      <c r="A49" s="283"/>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row>
    <row r="50" spans="1:52" x14ac:dyDescent="0.2">
      <c r="A50" s="1065" t="s">
        <v>1094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row>
    <row r="51" spans="1:52" x14ac:dyDescent="0.2">
      <c r="A51" s="283"/>
      <c r="B51" s="283"/>
      <c r="C51" s="1064" t="s">
        <v>1091</v>
      </c>
      <c r="D51" s="1064" t="s">
        <v>1092</v>
      </c>
      <c r="E51" s="1062" t="s">
        <v>1096</v>
      </c>
      <c r="F51" s="283"/>
      <c r="G51" s="283"/>
      <c r="H51" s="1062" t="s">
        <v>1127</v>
      </c>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row>
    <row r="52" spans="1:52" x14ac:dyDescent="0.2">
      <c r="A52" s="999" t="s">
        <v>1095</v>
      </c>
      <c r="B52" s="283"/>
      <c r="C52" s="283">
        <f ca="1">ROUND(IF(NFK&gt;5000000,250000,IF(NFK&lt;=200000,NFK*10%,IF(NFK&lt;=400000,20000+(NFK-200000)*7%,IF(NFK&lt;=1000000,NFK*7.5%,IF(NFK&lt;=1500000,75000+(NFK-1000000)*5%,IF(NFK&lt;=2500000,100000+(NFK-1500000)*2.5%,NFK*5%)))))),-1)</f>
        <v>0</v>
      </c>
      <c r="D52" s="283">
        <f ca="1">IF(NFK&lt;=200000,NFK*7.5%,IF(NFK&lt;=600000,200000*7.5%+(NFK-200000)*3.75%,IF(NFK&lt;=2500000,NFK*5%,125000)))</f>
        <v>0</v>
      </c>
      <c r="E52" s="1066">
        <f ca="1">C52-D52</f>
        <v>0</v>
      </c>
      <c r="F52" s="283"/>
      <c r="G52" s="283"/>
      <c r="H52" s="1063" t="s">
        <v>1126</v>
      </c>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row>
    <row r="53" spans="1:52" x14ac:dyDescent="0.2">
      <c r="A53" s="999" t="s">
        <v>1090</v>
      </c>
      <c r="B53" s="283"/>
      <c r="C53" s="283">
        <f ca="1">IF(NFK&lt;=200000,NFK*12%,IF(NFK&lt;=500000,24000+(NFK-200000)*5%,IF(NFK&lt;=800000,39000+(NFK-500000)*3%,IF(NFK&lt;=2800000,48000+(NFK-800000)*2%,IF(NFK&lt;=6000000,88000+(NFK-2800000)*1%,NFK*2%)))))</f>
        <v>0</v>
      </c>
      <c r="D53" s="283">
        <f ca="1">IF(NFK&lt;250000,14000,ROUND(IF(NFK&lt;=750000,14000+(NFK-250000)*(18500/500000),IF(NFK&lt;=2500000,30000+40000*(NFK-750000)/1750000,IF(NFK&lt;=5000000,70000+30000*(NFK-2500000)/2500000,NFK*2%))),-1))</f>
        <v>14000</v>
      </c>
      <c r="E53" s="1066">
        <f t="shared" ref="E53:E54" ca="1" si="1">C53-D53</f>
        <v>-14000</v>
      </c>
      <c r="F53" s="283"/>
      <c r="G53" s="283"/>
      <c r="H53" s="1060"/>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row>
    <row r="54" spans="1:52" x14ac:dyDescent="0.2">
      <c r="A54" s="999" t="s">
        <v>1093</v>
      </c>
      <c r="B54" s="283"/>
      <c r="C54" s="283">
        <f ca="1">IF(NFK&lt;=200000,NFK*18%,IF(NFK&lt;=300000,36000+(NFK-200000)*6%,IF(NFK&lt;=600000,42000+(NFK-300000)*4%,IF(NFK&lt;=2400000,54000+(NFK-600000)*3%,IF(NFK&lt;=3000000,108000+(NFK-2400000)*2%,IF(NFK&lt;=4000000,120000+(NFK-3000000)*1%,NFK*3%))))))</f>
        <v>0</v>
      </c>
      <c r="D54" s="283">
        <f ca="1">IF(NFK&lt;=3000000,H54*125%,H54*120%)</f>
        <v>26250</v>
      </c>
      <c r="E54" s="1067">
        <f t="shared" ca="1" si="1"/>
        <v>-26250</v>
      </c>
      <c r="F54" s="283"/>
      <c r="G54" s="283"/>
      <c r="H54" s="1061">
        <f ca="1">IF(NFK&lt;=250000,21000,ROUND(IF(NFK&lt;=750000,(21000+(NFK-250000)*(16500/500000))/((1+1/6)*1.1041*0.9*1.05),IF(NFK&lt;=872000,NFK*(3.5+(872000-NFK)/436000)%,IF(NFK&lt;=1308000,NFK*(3+(0.5*(1308000-NFK)/436000))%,IF(NFK&lt;=3634000,NFK*(2+(3634000-NFK)/2326000)%,NFK*2%))))*(1+1/6)*1.1041*0.9*1.05,-1))</f>
        <v>21000</v>
      </c>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row>
    <row r="55" spans="1:52" x14ac:dyDescent="0.2">
      <c r="A55" s="999"/>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row>
    <row r="56" spans="1:52" x14ac:dyDescent="0.2">
      <c r="A56" s="283"/>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row>
    <row r="57" spans="1:52" x14ac:dyDescent="0.2">
      <c r="A57" s="1065" t="s">
        <v>1128</v>
      </c>
      <c r="B57" s="283"/>
      <c r="C57" s="1068">
        <f ca="1">Zusammenfassung!H28</f>
        <v>0</v>
      </c>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row>
    <row r="58" spans="1:52" x14ac:dyDescent="0.2">
      <c r="A58" s="283"/>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row>
    <row r="59" spans="1:52" x14ac:dyDescent="0.2">
      <c r="A59" s="283"/>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row>
    <row r="60" spans="1:52" x14ac:dyDescent="0.2">
      <c r="A60" s="283"/>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row>
    <row r="61" spans="1:52" x14ac:dyDescent="0.2">
      <c r="A61" s="283"/>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row>
    <row r="62" spans="1:52" x14ac:dyDescent="0.2">
      <c r="A62" s="283"/>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row>
    <row r="63" spans="1:52" x14ac:dyDescent="0.2">
      <c r="A63" s="283"/>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row>
    <row r="64" spans="1:52" x14ac:dyDescent="0.2">
      <c r="A64" s="283"/>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row>
    <row r="65" spans="1:52" x14ac:dyDescent="0.2">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row>
    <row r="66" spans="1:52" x14ac:dyDescent="0.2">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row>
    <row r="67" spans="1:52" x14ac:dyDescent="0.2">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row>
    <row r="68" spans="1:52" x14ac:dyDescent="0.2">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row>
    <row r="69" spans="1:52" x14ac:dyDescent="0.2">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row>
    <row r="70" spans="1:52" x14ac:dyDescent="0.2">
      <c r="A70" s="283"/>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row>
    <row r="71" spans="1:52" x14ac:dyDescent="0.2">
      <c r="A71" s="283"/>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row>
    <row r="72" spans="1:52" x14ac:dyDescent="0.2">
      <c r="A72" s="283"/>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row>
    <row r="73" spans="1:52" x14ac:dyDescent="0.2">
      <c r="A73" s="283"/>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row>
    <row r="74" spans="1:52" x14ac:dyDescent="0.2">
      <c r="A74" s="283"/>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row>
    <row r="75" spans="1:52" x14ac:dyDescent="0.2">
      <c r="A75" s="283"/>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row>
    <row r="76" spans="1:52" x14ac:dyDescent="0.2">
      <c r="A76" s="283"/>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row>
    <row r="77" spans="1:52" x14ac:dyDescent="0.2">
      <c r="A77" s="283"/>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row>
    <row r="78" spans="1:52" x14ac:dyDescent="0.2">
      <c r="A78" s="283"/>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row>
    <row r="79" spans="1:52" x14ac:dyDescent="0.2">
      <c r="A79" s="283"/>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row>
    <row r="80" spans="1:52" x14ac:dyDescent="0.2">
      <c r="A80" s="283"/>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row>
    <row r="81" spans="1:52" x14ac:dyDescent="0.2">
      <c r="A81" s="283"/>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row>
    <row r="82" spans="1:52" x14ac:dyDescent="0.2">
      <c r="A82" s="283"/>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row>
    <row r="83" spans="1:52" x14ac:dyDescent="0.2">
      <c r="A83" s="283"/>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row>
    <row r="84" spans="1:52" x14ac:dyDescent="0.2">
      <c r="A84" s="283"/>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row>
    <row r="85" spans="1:52" x14ac:dyDescent="0.2">
      <c r="A85" s="283"/>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row>
    <row r="86" spans="1:52" x14ac:dyDescent="0.2">
      <c r="A86" s="283"/>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row>
    <row r="87" spans="1:52" x14ac:dyDescent="0.2">
      <c r="A87" s="283"/>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row>
    <row r="88" spans="1:52" x14ac:dyDescent="0.2">
      <c r="A88" s="283"/>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row>
    <row r="89" spans="1:52" x14ac:dyDescent="0.2">
      <c r="A89" s="283"/>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row>
    <row r="90" spans="1:52" x14ac:dyDescent="0.2">
      <c r="A90" s="283"/>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row>
    <row r="91" spans="1:52" x14ac:dyDescent="0.2">
      <c r="A91" s="283"/>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3"/>
      <c r="AW91" s="283"/>
      <c r="AX91" s="283"/>
      <c r="AY91" s="283"/>
      <c r="AZ91" s="283"/>
    </row>
    <row r="92" spans="1:52" x14ac:dyDescent="0.2">
      <c r="A92" s="283"/>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3"/>
      <c r="AW92" s="283"/>
      <c r="AX92" s="283"/>
      <c r="AY92" s="283"/>
      <c r="AZ92" s="283"/>
    </row>
    <row r="93" spans="1:52" x14ac:dyDescent="0.2">
      <c r="A93" s="283"/>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row>
    <row r="94" spans="1:52" x14ac:dyDescent="0.2">
      <c r="A94" s="283"/>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row>
    <row r="95" spans="1:52" x14ac:dyDescent="0.2">
      <c r="A95" s="283"/>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row>
    <row r="96" spans="1:52" x14ac:dyDescent="0.2">
      <c r="A96" s="283"/>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row>
    <row r="97" spans="1:52" x14ac:dyDescent="0.2">
      <c r="A97" s="283"/>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row>
    <row r="98" spans="1:52" x14ac:dyDescent="0.2">
      <c r="A98" s="283"/>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row>
    <row r="99" spans="1:52" x14ac:dyDescent="0.2">
      <c r="A99" s="283"/>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row>
    <row r="100" spans="1:52" x14ac:dyDescent="0.2">
      <c r="A100" s="283"/>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row>
    <row r="101" spans="1:52" x14ac:dyDescent="0.2">
      <c r="A101" s="283"/>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row>
    <row r="102" spans="1:52" x14ac:dyDescent="0.2">
      <c r="A102" s="283"/>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row>
    <row r="103" spans="1:52" x14ac:dyDescent="0.2">
      <c r="A103" s="283"/>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row>
    <row r="104" spans="1:52" x14ac:dyDescent="0.2">
      <c r="A104" s="283"/>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row>
    <row r="105" spans="1:52" x14ac:dyDescent="0.2">
      <c r="A105" s="283"/>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3"/>
      <c r="AW105" s="283"/>
      <c r="AX105" s="283"/>
      <c r="AY105" s="283"/>
      <c r="AZ105" s="283"/>
    </row>
    <row r="106" spans="1:52" x14ac:dyDescent="0.2">
      <c r="A106" s="283"/>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283"/>
    </row>
    <row r="107" spans="1:52" x14ac:dyDescent="0.2">
      <c r="A107" s="283"/>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row>
    <row r="108" spans="1:52" x14ac:dyDescent="0.2">
      <c r="A108" s="283"/>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row>
    <row r="109" spans="1:52" x14ac:dyDescent="0.2">
      <c r="A109" s="283"/>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row>
    <row r="110" spans="1:52" x14ac:dyDescent="0.2">
      <c r="A110" s="283"/>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row>
    <row r="111" spans="1:52" x14ac:dyDescent="0.2">
      <c r="A111" s="283"/>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row>
    <row r="112" spans="1:52" x14ac:dyDescent="0.2">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row>
    <row r="113" spans="1:52" x14ac:dyDescent="0.2">
      <c r="A113" s="283"/>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row>
    <row r="114" spans="1:52" x14ac:dyDescent="0.2">
      <c r="A114" s="283"/>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row>
    <row r="115" spans="1:52" x14ac:dyDescent="0.2">
      <c r="A115" s="283"/>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row>
    <row r="116" spans="1:52" x14ac:dyDescent="0.2">
      <c r="A116" s="283"/>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row>
    <row r="117" spans="1:52" x14ac:dyDescent="0.2">
      <c r="A117" s="283"/>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row>
    <row r="118" spans="1:52" x14ac:dyDescent="0.2">
      <c r="A118" s="283"/>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row>
    <row r="119" spans="1:52" x14ac:dyDescent="0.2">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row>
    <row r="120" spans="1:52" x14ac:dyDescent="0.2">
      <c r="A120" s="283"/>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row>
    <row r="121" spans="1:52" x14ac:dyDescent="0.2">
      <c r="A121" s="283"/>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row>
    <row r="122" spans="1:52" x14ac:dyDescent="0.2">
      <c r="A122" s="283"/>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row>
    <row r="123" spans="1:52" x14ac:dyDescent="0.2">
      <c r="A123" s="283"/>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row>
    <row r="124" spans="1:52" x14ac:dyDescent="0.2">
      <c r="A124" s="283"/>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row>
    <row r="125" spans="1:52" x14ac:dyDescent="0.2">
      <c r="A125" s="283"/>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row>
    <row r="126" spans="1:52" x14ac:dyDescent="0.2">
      <c r="A126" s="283"/>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row>
    <row r="127" spans="1:52" x14ac:dyDescent="0.2">
      <c r="A127" s="283"/>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row>
    <row r="128" spans="1:52" x14ac:dyDescent="0.2">
      <c r="A128" s="283"/>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row>
    <row r="129" spans="1:52" x14ac:dyDescent="0.2">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row>
    <row r="130" spans="1:52" x14ac:dyDescent="0.2">
      <c r="A130" s="283"/>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row>
    <row r="131" spans="1:52" x14ac:dyDescent="0.2">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row>
    <row r="132" spans="1:52" x14ac:dyDescent="0.2">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row>
    <row r="133" spans="1:52" x14ac:dyDescent="0.2">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row>
    <row r="134" spans="1:52" x14ac:dyDescent="0.2">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row>
    <row r="135" spans="1:52" x14ac:dyDescent="0.2">
      <c r="A135" s="283"/>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row>
    <row r="136" spans="1:52" x14ac:dyDescent="0.2">
      <c r="A136" s="283"/>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row>
    <row r="137" spans="1:52" x14ac:dyDescent="0.2">
      <c r="A137" s="283"/>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row>
    <row r="138" spans="1:52" x14ac:dyDescent="0.2">
      <c r="A138" s="283"/>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row>
    <row r="139" spans="1:52" x14ac:dyDescent="0.2">
      <c r="A139" s="283"/>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row>
    <row r="140" spans="1:52" x14ac:dyDescent="0.2">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row>
    <row r="141" spans="1:52" x14ac:dyDescent="0.2">
      <c r="A141" s="283"/>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c r="AL141" s="283"/>
      <c r="AM141" s="283"/>
      <c r="AN141" s="283"/>
      <c r="AO141" s="283"/>
      <c r="AP141" s="283"/>
      <c r="AQ141" s="283"/>
      <c r="AR141" s="283"/>
      <c r="AS141" s="283"/>
      <c r="AT141" s="283"/>
      <c r="AU141" s="283"/>
      <c r="AV141" s="283"/>
      <c r="AW141" s="283"/>
      <c r="AX141" s="283"/>
      <c r="AY141" s="283"/>
      <c r="AZ141" s="283"/>
    </row>
    <row r="142" spans="1:52" x14ac:dyDescent="0.2">
      <c r="A142" s="283"/>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row>
    <row r="143" spans="1:52" x14ac:dyDescent="0.2">
      <c r="A143" s="283"/>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row>
    <row r="144" spans="1:52" x14ac:dyDescent="0.2">
      <c r="A144" s="283"/>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283"/>
      <c r="AT144" s="283"/>
      <c r="AU144" s="283"/>
      <c r="AV144" s="283"/>
      <c r="AW144" s="283"/>
      <c r="AX144" s="283"/>
      <c r="AY144" s="283"/>
      <c r="AZ144" s="283"/>
    </row>
    <row r="145" spans="1:52" x14ac:dyDescent="0.2">
      <c r="A145" s="283"/>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c r="AW145" s="283"/>
      <c r="AX145" s="283"/>
      <c r="AY145" s="283"/>
      <c r="AZ145" s="283"/>
    </row>
    <row r="146" spans="1:52" x14ac:dyDescent="0.2">
      <c r="A146" s="283"/>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row>
    <row r="147" spans="1:52" x14ac:dyDescent="0.2">
      <c r="A147" s="283"/>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row>
    <row r="148" spans="1:52" x14ac:dyDescent="0.2">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c r="AW148" s="283"/>
      <c r="AX148" s="283"/>
      <c r="AY148" s="283"/>
      <c r="AZ148" s="283"/>
    </row>
    <row r="149" spans="1:52" x14ac:dyDescent="0.2">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c r="AL149" s="283"/>
      <c r="AM149" s="283"/>
      <c r="AN149" s="283"/>
      <c r="AO149" s="283"/>
      <c r="AP149" s="283"/>
      <c r="AQ149" s="283"/>
      <c r="AR149" s="283"/>
      <c r="AS149" s="283"/>
      <c r="AT149" s="283"/>
      <c r="AU149" s="283"/>
      <c r="AV149" s="283"/>
      <c r="AW149" s="283"/>
      <c r="AX149" s="283"/>
      <c r="AY149" s="283"/>
      <c r="AZ149" s="283"/>
    </row>
    <row r="150" spans="1:52" x14ac:dyDescent="0.2">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row>
    <row r="151" spans="1:52" x14ac:dyDescent="0.2">
      <c r="A151" s="283"/>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3"/>
      <c r="AN151" s="283"/>
      <c r="AO151" s="283"/>
      <c r="AP151" s="283"/>
      <c r="AQ151" s="283"/>
      <c r="AR151" s="283"/>
      <c r="AS151" s="283"/>
      <c r="AT151" s="283"/>
      <c r="AU151" s="283"/>
      <c r="AV151" s="283"/>
      <c r="AW151" s="283"/>
      <c r="AX151" s="283"/>
      <c r="AY151" s="283"/>
      <c r="AZ151" s="283"/>
    </row>
    <row r="152" spans="1:52" x14ac:dyDescent="0.2">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row>
    <row r="153" spans="1:52" x14ac:dyDescent="0.2">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row>
  </sheetData>
  <sheetProtection algorithmName="SHA-512" hashValue="bU5SLjRW0CqUtO54VwEZM43l9JrYk1K6l6GezoZOj7BKGUA96aM7vZ8xXXD23aO1JG0IkO7F2FWiXE9P6gdPzw==" saltValue="TeS0iccWpUhaHBx+5lkTlA==" spinCount="100000" sheet="1" objects="1" scenarios="1"/>
  <conditionalFormatting sqref="C16:G16">
    <cfRule type="cellIs" dxfId="15" priority="18" operator="greaterThan">
      <formula>$I$16</formula>
    </cfRule>
  </conditionalFormatting>
  <conditionalFormatting sqref="C17:G17">
    <cfRule type="cellIs" dxfId="14" priority="17" operator="greaterThan">
      <formula>$I$17</formula>
    </cfRule>
  </conditionalFormatting>
  <conditionalFormatting sqref="C5">
    <cfRule type="cellIs" dxfId="13" priority="15" operator="greaterThan">
      <formula>$I$5</formula>
    </cfRule>
  </conditionalFormatting>
  <conditionalFormatting sqref="C3:G3 D4:G14">
    <cfRule type="cellIs" dxfId="12" priority="14" operator="greaterThan">
      <formula>$I$3</formula>
    </cfRule>
  </conditionalFormatting>
  <conditionalFormatting sqref="C4">
    <cfRule type="cellIs" dxfId="11" priority="13" operator="greaterThan">
      <formula>$I$4</formula>
    </cfRule>
  </conditionalFormatting>
  <conditionalFormatting sqref="C6">
    <cfRule type="cellIs" dxfId="10" priority="12" operator="greaterThan">
      <formula>$I$6</formula>
    </cfRule>
  </conditionalFormatting>
  <conditionalFormatting sqref="C7">
    <cfRule type="cellIs" dxfId="9" priority="11" operator="greaterThan">
      <formula>$I$7</formula>
    </cfRule>
  </conditionalFormatting>
  <conditionalFormatting sqref="C8">
    <cfRule type="cellIs" dxfId="8" priority="9" operator="greaterThan">
      <formula>$I$8</formula>
    </cfRule>
  </conditionalFormatting>
  <conditionalFormatting sqref="C9">
    <cfRule type="cellIs" dxfId="7" priority="8" operator="greaterThan">
      <formula>$I$9</formula>
    </cfRule>
  </conditionalFormatting>
  <conditionalFormatting sqref="C10">
    <cfRule type="cellIs" dxfId="6" priority="7" operator="greaterThan">
      <formula>$I$10</formula>
    </cfRule>
  </conditionalFormatting>
  <conditionalFormatting sqref="C11">
    <cfRule type="cellIs" dxfId="5" priority="6" operator="greaterThan">
      <formula>$I$11</formula>
    </cfRule>
  </conditionalFormatting>
  <conditionalFormatting sqref="C12">
    <cfRule type="cellIs" dxfId="4" priority="5" operator="greaterThan">
      <formula>$I$12</formula>
    </cfRule>
  </conditionalFormatting>
  <conditionalFormatting sqref="C13">
    <cfRule type="cellIs" dxfId="3" priority="4" operator="greaterThan">
      <formula>$I$13</formula>
    </cfRule>
  </conditionalFormatting>
  <conditionalFormatting sqref="C14">
    <cfRule type="cellIs" dxfId="2" priority="3" operator="greaterThan">
      <formula>$I$14</formula>
    </cfRule>
  </conditionalFormatting>
  <conditionalFormatting sqref="C18:G18">
    <cfRule type="cellIs" dxfId="1" priority="2" operator="greaterThan">
      <formula>$I$18</formula>
    </cfRule>
  </conditionalFormatting>
  <conditionalFormatting sqref="C19:G19">
    <cfRule type="cellIs" dxfId="0"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C505"/>
  <sheetViews>
    <sheetView zoomScaleNormal="100" workbookViewId="0">
      <pane xSplit="2" ySplit="3" topLeftCell="D4" activePane="bottomRight" state="frozen"/>
      <selection pane="topRight"/>
      <selection pane="bottomLeft"/>
      <selection pane="bottomRight" activeCell="B4" sqref="B4"/>
    </sheetView>
  </sheetViews>
  <sheetFormatPr baseColWidth="10" defaultColWidth="11" defaultRowHeight="12.75" x14ac:dyDescent="0.2"/>
  <cols>
    <col min="1" max="1" width="3.125" style="44" customWidth="1"/>
    <col min="2" max="2" width="23.125" style="44" customWidth="1"/>
    <col min="3" max="3" width="19.5" style="44" customWidth="1"/>
    <col min="4" max="4" width="8.375" style="44" customWidth="1"/>
    <col min="5" max="5" width="9.125" style="44" customWidth="1"/>
    <col min="6" max="6" width="13.125" style="44" customWidth="1"/>
    <col min="7" max="8" width="9.125" style="44" customWidth="1"/>
    <col min="9" max="9" width="9.875" style="44" customWidth="1"/>
    <col min="10" max="10" width="9.125" style="44" customWidth="1"/>
    <col min="11" max="11" width="9.875" style="44" customWidth="1"/>
    <col min="12" max="12" width="7.375" style="44" customWidth="1"/>
    <col min="13" max="13" width="11.5" style="44" customWidth="1"/>
    <col min="14" max="14" width="3.5" style="44" customWidth="1"/>
    <col min="15" max="15" width="11.125" style="44" customWidth="1"/>
    <col min="16" max="16" width="5.625" style="44" customWidth="1"/>
    <col min="17" max="17" width="8.375" style="44" customWidth="1"/>
    <col min="18" max="20" width="11.125" style="44" customWidth="1"/>
    <col min="21" max="21" width="3.625" customWidth="1"/>
    <col min="22" max="22" width="11.125" customWidth="1"/>
    <col min="23" max="24" width="11.125" style="44" customWidth="1"/>
    <col min="25" max="25" width="3.625" style="44" customWidth="1"/>
    <col min="26" max="16384" width="11" style="44"/>
  </cols>
  <sheetData>
    <row r="1" spans="1:55" s="45" customFormat="1" ht="29.25" customHeight="1" x14ac:dyDescent="0.2">
      <c r="A1" s="781" t="str">
        <f>IF(Stammblatt!L4=1,"DARSTELLER","CAST")</f>
        <v>DARSTELLER</v>
      </c>
      <c r="B1" s="782"/>
      <c r="C1" s="782"/>
      <c r="D1" s="782"/>
      <c r="E1" s="782"/>
      <c r="F1" s="782"/>
      <c r="G1" s="1208" t="str">
        <f>IF(Stammblatt!$L$4=1,"SV-DGA","social security")</f>
        <v>SV-DGA</v>
      </c>
      <c r="H1" s="1209"/>
      <c r="I1" s="672"/>
      <c r="J1" s="672"/>
      <c r="K1" s="1179" t="str">
        <f>IF(Stammblatt!$L$4=1,"Kommunal-steuer","municipal tax")</f>
        <v>Kommunal-steuer</v>
      </c>
      <c r="L1" s="1179" t="str">
        <f>IF(Stammblatt!$L$4=1,"U-Bahn Abgabe","subway toll")</f>
        <v>U-Bahn Abgabe</v>
      </c>
      <c r="M1" s="1182" t="str">
        <f>IF(Stammblatt!$L$4=1,"SUMME Lohnneben-kosten","T O T A L   non-wage labour costs")</f>
        <v>SUMME Lohnneben-kosten</v>
      </c>
      <c r="N1" s="1203" t="s">
        <v>764</v>
      </c>
      <c r="O1" s="788" t="str">
        <f>IF(Stammblatt!$L$4=1,"KOSTÜME","COSTUMES")</f>
        <v>KOSTÜME</v>
      </c>
      <c r="P1" s="782"/>
      <c r="Q1" s="1195" t="s">
        <v>1061</v>
      </c>
      <c r="R1" s="1195"/>
      <c r="S1" s="1195"/>
      <c r="T1" s="1195"/>
      <c r="U1" s="782"/>
      <c r="V1" s="1196" t="str">
        <f>IF(Stammblatt!$L$4=1,"K O S T Ü M E","C O S T U M E S")</f>
        <v>K O S T Ü M E</v>
      </c>
      <c r="W1" s="1196"/>
      <c r="X1" s="1196"/>
      <c r="Y1" s="782"/>
      <c r="Z1" s="782"/>
      <c r="AA1" s="782"/>
      <c r="AB1" s="782"/>
      <c r="AC1" s="782"/>
      <c r="AD1" s="782"/>
      <c r="AE1" s="782"/>
      <c r="AF1" s="782"/>
      <c r="AG1" s="782"/>
      <c r="AH1" s="782"/>
      <c r="AI1" s="782"/>
      <c r="AJ1" s="782"/>
      <c r="AK1" s="782"/>
      <c r="AL1" s="782"/>
      <c r="AM1" s="782"/>
      <c r="AN1" s="782"/>
      <c r="AO1" s="782"/>
      <c r="AP1" s="782"/>
      <c r="AQ1" s="782"/>
      <c r="AR1" s="782"/>
      <c r="AS1" s="782"/>
      <c r="AT1" s="782"/>
      <c r="AU1" s="782"/>
      <c r="AV1" s="782"/>
      <c r="AW1" s="782"/>
      <c r="AX1" s="782"/>
      <c r="AY1" s="782"/>
      <c r="AZ1" s="782"/>
      <c r="BA1" s="782"/>
      <c r="BB1" s="782"/>
      <c r="BC1" s="782"/>
    </row>
    <row r="2" spans="1:55" s="45" customFormat="1" ht="12.75" customHeight="1" x14ac:dyDescent="0.2">
      <c r="A2" s="783"/>
      <c r="B2" s="784"/>
      <c r="C2" s="784"/>
      <c r="D2" s="1201" t="str">
        <f>IF(Stammblatt!L4=1,"Dreh-tage","shooting days")</f>
        <v>Dreh-tage</v>
      </c>
      <c r="E2" s="1201" t="str">
        <f>IF(Stammblatt!L4=1,"Tages-gage","daily rate")</f>
        <v>Tages-gage</v>
      </c>
      <c r="F2" s="1206" t="str">
        <f>IF(Stammblatt!L4=1,"Summe/  Pauschale","Total/  allowance")</f>
        <v>Summe/  Pauschale</v>
      </c>
      <c r="G2" s="672" t="s">
        <v>159</v>
      </c>
      <c r="H2" s="672" t="s">
        <v>176</v>
      </c>
      <c r="I2" s="672" t="s">
        <v>132</v>
      </c>
      <c r="J2" s="672" t="s">
        <v>133</v>
      </c>
      <c r="K2" s="1180"/>
      <c r="L2" s="1180"/>
      <c r="M2" s="1183"/>
      <c r="N2" s="1204"/>
      <c r="O2" s="789" t="str">
        <f>IF(Stammblatt!$L$4=1,"Österreich","Austria")</f>
        <v>Österreich</v>
      </c>
      <c r="P2" s="790"/>
      <c r="Q2" s="1201" t="str">
        <f>IF(Stammblatt!L4=1,"Dreh-tage","shooting days")</f>
        <v>Dreh-tage</v>
      </c>
      <c r="R2" s="1197" t="str">
        <f>Stammblatt!B34</f>
        <v>A</v>
      </c>
      <c r="S2" s="1197" t="str">
        <f>Stammblatt!B35</f>
        <v>B</v>
      </c>
      <c r="T2" s="1197" t="str">
        <f>Stammblatt!B36</f>
        <v>C</v>
      </c>
      <c r="U2" s="782"/>
      <c r="V2" s="1199" t="s">
        <v>268</v>
      </c>
      <c r="W2" s="1199" t="str">
        <f>Stammblatt!B35</f>
        <v>B</v>
      </c>
      <c r="X2" s="1199" t="str">
        <f>Stammblatt!B36</f>
        <v>C</v>
      </c>
      <c r="Y2" s="782"/>
      <c r="Z2" s="782"/>
      <c r="AA2" s="782"/>
      <c r="AB2" s="782"/>
      <c r="AC2" s="782"/>
      <c r="AD2" s="782"/>
      <c r="AE2" s="782"/>
      <c r="AF2" s="782"/>
      <c r="AG2" s="782"/>
      <c r="AH2" s="782"/>
      <c r="AI2" s="782"/>
      <c r="AJ2" s="782"/>
      <c r="AK2" s="782"/>
      <c r="AL2" s="782"/>
      <c r="AM2" s="782"/>
      <c r="AN2" s="782"/>
      <c r="AO2" s="782"/>
      <c r="AP2" s="782"/>
      <c r="AQ2" s="782"/>
      <c r="AR2" s="782"/>
      <c r="AS2" s="782"/>
      <c r="AT2" s="782"/>
      <c r="AU2" s="782"/>
      <c r="AV2" s="782"/>
      <c r="AW2" s="782"/>
      <c r="AX2" s="782"/>
      <c r="AY2" s="782"/>
      <c r="AZ2" s="782"/>
      <c r="BA2" s="782"/>
      <c r="BB2" s="782"/>
      <c r="BC2" s="782"/>
    </row>
    <row r="3" spans="1:55" s="45" customFormat="1" x14ac:dyDescent="0.2">
      <c r="A3" s="785"/>
      <c r="B3" s="786" t="str">
        <f>IF(Stammblatt!L4=1,"Rolle","role")</f>
        <v>Rolle</v>
      </c>
      <c r="C3" s="786" t="s">
        <v>514</v>
      </c>
      <c r="D3" s="1202"/>
      <c r="E3" s="1202"/>
      <c r="F3" s="1207"/>
      <c r="G3" s="672" t="s">
        <v>160</v>
      </c>
      <c r="H3" s="672"/>
      <c r="I3" s="787"/>
      <c r="J3" s="787"/>
      <c r="K3" s="1181" t="s">
        <v>158</v>
      </c>
      <c r="L3" s="1181"/>
      <c r="M3" s="1184"/>
      <c r="N3" s="1205"/>
      <c r="O3" s="791"/>
      <c r="P3" s="790"/>
      <c r="Q3" s="1202"/>
      <c r="R3" s="1198"/>
      <c r="S3" s="1198"/>
      <c r="T3" s="1198"/>
      <c r="U3" s="782"/>
      <c r="V3" s="1200"/>
      <c r="W3" s="1200"/>
      <c r="X3" s="1200"/>
      <c r="Y3" s="782"/>
      <c r="Z3" s="782"/>
      <c r="AA3" s="782"/>
      <c r="AB3" s="782"/>
      <c r="AC3" s="782"/>
      <c r="AD3" s="782"/>
      <c r="AE3" s="782"/>
      <c r="AF3" s="782"/>
      <c r="AG3" s="782"/>
      <c r="AH3" s="782"/>
      <c r="AI3" s="782"/>
      <c r="AJ3" s="782"/>
      <c r="AK3" s="782"/>
      <c r="AL3" s="782"/>
      <c r="AM3" s="782"/>
      <c r="AN3" s="782"/>
      <c r="AO3" s="782"/>
      <c r="AP3" s="782"/>
      <c r="AQ3" s="782"/>
      <c r="AR3" s="782"/>
      <c r="AS3" s="782"/>
      <c r="AT3" s="782"/>
      <c r="AU3" s="782"/>
      <c r="AV3" s="782"/>
      <c r="AW3" s="782"/>
      <c r="AX3" s="782"/>
      <c r="AY3" s="782"/>
      <c r="AZ3" s="782"/>
      <c r="BA3" s="782"/>
      <c r="BB3" s="782"/>
      <c r="BC3" s="782"/>
    </row>
    <row r="4" spans="1:55" s="45" customFormat="1" x14ac:dyDescent="0.2">
      <c r="A4" s="796">
        <v>1</v>
      </c>
      <c r="B4" s="71"/>
      <c r="C4" s="71"/>
      <c r="D4" s="76"/>
      <c r="E4" s="35"/>
      <c r="F4" s="797">
        <f t="shared" ref="F4:F53" si="0">D4*E4</f>
        <v>0</v>
      </c>
      <c r="G4" s="675">
        <f t="shared" ref="G4:G53" si="1">IF(F4=0,0,IF(F4/D4&gt;SVGrund_lfd_tä,D4*Höchst_Tag,F4*SV_lfd))</f>
        <v>0</v>
      </c>
      <c r="H4" s="675">
        <f>IF((F4-F4/1.1041)&gt;(0.5833*D4/7*SVGrund_lfd_tä),(0.5833*D4/7*Höchst_Tag),(F4-F4/1.1041)*SV_lfd)</f>
        <v>0</v>
      </c>
      <c r="I4" s="675">
        <f>F4*DB</f>
        <v>0</v>
      </c>
      <c r="J4" s="675">
        <f>F4*DZ</f>
        <v>0</v>
      </c>
      <c r="K4" s="675">
        <f>F4*KommSt</f>
        <v>0</v>
      </c>
      <c r="L4" s="675">
        <f>D4/5*U_Bahn</f>
        <v>0</v>
      </c>
      <c r="M4" s="798">
        <f>SUM(G4:L4)</f>
        <v>0</v>
      </c>
      <c r="N4" s="152"/>
      <c r="O4" s="96"/>
      <c r="P4" s="801"/>
      <c r="Q4" s="71"/>
      <c r="R4" s="96"/>
      <c r="S4" s="97"/>
      <c r="T4" s="96"/>
      <c r="U4" s="782"/>
      <c r="V4" s="97"/>
      <c r="W4" s="97"/>
      <c r="X4" s="96"/>
      <c r="Y4" s="782"/>
      <c r="Z4" s="782"/>
      <c r="AA4" s="782"/>
      <c r="AB4" s="782"/>
      <c r="AC4" s="782"/>
      <c r="AD4" s="782"/>
      <c r="AE4" s="782"/>
      <c r="AF4" s="782"/>
      <c r="AG4" s="782"/>
      <c r="AH4" s="782"/>
      <c r="AI4" s="782"/>
      <c r="AJ4" s="782"/>
      <c r="AK4" s="782"/>
      <c r="AL4" s="782"/>
      <c r="AM4" s="782"/>
      <c r="AN4" s="782"/>
      <c r="AO4" s="782"/>
      <c r="AP4" s="782"/>
      <c r="AQ4" s="782"/>
      <c r="AR4" s="782"/>
      <c r="AS4" s="782"/>
      <c r="AT4" s="782"/>
      <c r="AU4" s="782"/>
      <c r="AV4" s="782"/>
      <c r="AW4" s="782"/>
      <c r="AX4" s="782"/>
      <c r="AY4" s="782"/>
      <c r="AZ4" s="782"/>
      <c r="BA4" s="782"/>
      <c r="BB4" s="782"/>
      <c r="BC4" s="782"/>
    </row>
    <row r="5" spans="1:55" s="45" customFormat="1" x14ac:dyDescent="0.2">
      <c r="A5" s="796">
        <v>2</v>
      </c>
      <c r="B5" s="71"/>
      <c r="C5" s="71"/>
      <c r="D5" s="76"/>
      <c r="E5" s="35"/>
      <c r="F5" s="797">
        <f t="shared" si="0"/>
        <v>0</v>
      </c>
      <c r="G5" s="675">
        <f t="shared" si="1"/>
        <v>0</v>
      </c>
      <c r="H5" s="675">
        <f t="shared" ref="H5:H53" si="2">IF((F5-F5/1.1041)&gt;(0.5833*D5/7*SVGrund_lfd_tä),(0.5833*D5/7*Höchst_Tag),(F5-F5/1.1041)*SV_lfd)</f>
        <v>0</v>
      </c>
      <c r="I5" s="675">
        <f t="shared" ref="I5:I53" si="3">F5*DB</f>
        <v>0</v>
      </c>
      <c r="J5" s="675">
        <f t="shared" ref="J5:J53" si="4">F5*DZ</f>
        <v>0</v>
      </c>
      <c r="K5" s="675">
        <f t="shared" ref="K5:K53" si="5">F5*KommSt</f>
        <v>0</v>
      </c>
      <c r="L5" s="675">
        <f t="shared" ref="L5:L53" si="6">D5/5*U_Bahn</f>
        <v>0</v>
      </c>
      <c r="M5" s="667">
        <f t="shared" ref="M5:M53" si="7">SUM(G5:L5)</f>
        <v>0</v>
      </c>
      <c r="N5" s="152"/>
      <c r="O5" s="96"/>
      <c r="P5" s="801"/>
      <c r="Q5" s="71"/>
      <c r="R5" s="96"/>
      <c r="S5" s="97"/>
      <c r="T5" s="96"/>
      <c r="U5" s="782"/>
      <c r="V5" s="97"/>
      <c r="W5" s="97"/>
      <c r="X5" s="96"/>
      <c r="Y5" s="782"/>
      <c r="Z5" s="782"/>
      <c r="AA5" s="782"/>
      <c r="AB5" s="782"/>
      <c r="AC5" s="782"/>
      <c r="AD5" s="782"/>
      <c r="AE5" s="782"/>
      <c r="AF5" s="782"/>
      <c r="AG5" s="782"/>
      <c r="AH5" s="782"/>
      <c r="AI5" s="782"/>
      <c r="AJ5" s="782"/>
      <c r="AK5" s="782"/>
      <c r="AL5" s="782"/>
      <c r="AM5" s="782"/>
      <c r="AN5" s="782"/>
      <c r="AO5" s="782"/>
      <c r="AP5" s="782"/>
      <c r="AQ5" s="782"/>
      <c r="AR5" s="782"/>
      <c r="AS5" s="782"/>
      <c r="AT5" s="782"/>
      <c r="AU5" s="782"/>
      <c r="AV5" s="782"/>
      <c r="AW5" s="782"/>
      <c r="AX5" s="782"/>
      <c r="AY5" s="782"/>
      <c r="AZ5" s="782"/>
      <c r="BA5" s="782"/>
      <c r="BB5" s="782"/>
      <c r="BC5" s="782"/>
    </row>
    <row r="6" spans="1:55" s="45" customFormat="1" x14ac:dyDescent="0.2">
      <c r="A6" s="796">
        <v>3</v>
      </c>
      <c r="B6" s="71"/>
      <c r="C6" s="71"/>
      <c r="D6" s="76"/>
      <c r="E6" s="35"/>
      <c r="F6" s="797">
        <f t="shared" si="0"/>
        <v>0</v>
      </c>
      <c r="G6" s="675">
        <f t="shared" si="1"/>
        <v>0</v>
      </c>
      <c r="H6" s="675">
        <f t="shared" si="2"/>
        <v>0</v>
      </c>
      <c r="I6" s="675">
        <f t="shared" si="3"/>
        <v>0</v>
      </c>
      <c r="J6" s="675">
        <f t="shared" si="4"/>
        <v>0</v>
      </c>
      <c r="K6" s="675">
        <f t="shared" si="5"/>
        <v>0</v>
      </c>
      <c r="L6" s="675">
        <f t="shared" si="6"/>
        <v>0</v>
      </c>
      <c r="M6" s="667">
        <f t="shared" si="7"/>
        <v>0</v>
      </c>
      <c r="N6" s="152"/>
      <c r="O6" s="96"/>
      <c r="P6" s="801"/>
      <c r="Q6" s="71"/>
      <c r="R6" s="96"/>
      <c r="S6" s="97"/>
      <c r="T6" s="96"/>
      <c r="U6" s="782"/>
      <c r="V6" s="97"/>
      <c r="W6" s="97"/>
      <c r="X6" s="96"/>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2"/>
      <c r="BC6" s="782"/>
    </row>
    <row r="7" spans="1:55" s="45" customFormat="1" x14ac:dyDescent="0.2">
      <c r="A7" s="796">
        <v>4</v>
      </c>
      <c r="B7" s="71"/>
      <c r="C7" s="71"/>
      <c r="D7" s="76"/>
      <c r="E7" s="35"/>
      <c r="F7" s="797">
        <f t="shared" si="0"/>
        <v>0</v>
      </c>
      <c r="G7" s="675">
        <f t="shared" si="1"/>
        <v>0</v>
      </c>
      <c r="H7" s="675">
        <f t="shared" si="2"/>
        <v>0</v>
      </c>
      <c r="I7" s="675">
        <f t="shared" si="3"/>
        <v>0</v>
      </c>
      <c r="J7" s="675">
        <f t="shared" si="4"/>
        <v>0</v>
      </c>
      <c r="K7" s="675">
        <f t="shared" si="5"/>
        <v>0</v>
      </c>
      <c r="L7" s="675">
        <f t="shared" si="6"/>
        <v>0</v>
      </c>
      <c r="M7" s="667">
        <f t="shared" si="7"/>
        <v>0</v>
      </c>
      <c r="N7" s="152"/>
      <c r="O7" s="96"/>
      <c r="P7" s="801"/>
      <c r="Q7" s="71"/>
      <c r="R7" s="96"/>
      <c r="S7" s="97"/>
      <c r="T7" s="96"/>
      <c r="U7" s="782"/>
      <c r="V7" s="97"/>
      <c r="W7" s="97"/>
      <c r="X7" s="96"/>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row>
    <row r="8" spans="1:55" s="45" customFormat="1" x14ac:dyDescent="0.2">
      <c r="A8" s="796">
        <v>5</v>
      </c>
      <c r="B8" s="71"/>
      <c r="C8" s="71"/>
      <c r="D8" s="76"/>
      <c r="E8" s="35"/>
      <c r="F8" s="797">
        <f t="shared" si="0"/>
        <v>0</v>
      </c>
      <c r="G8" s="675">
        <f t="shared" si="1"/>
        <v>0</v>
      </c>
      <c r="H8" s="675">
        <f t="shared" si="2"/>
        <v>0</v>
      </c>
      <c r="I8" s="675">
        <f t="shared" si="3"/>
        <v>0</v>
      </c>
      <c r="J8" s="675">
        <f t="shared" si="4"/>
        <v>0</v>
      </c>
      <c r="K8" s="675">
        <f t="shared" si="5"/>
        <v>0</v>
      </c>
      <c r="L8" s="675">
        <f t="shared" si="6"/>
        <v>0</v>
      </c>
      <c r="M8" s="667">
        <f t="shared" si="7"/>
        <v>0</v>
      </c>
      <c r="N8" s="152"/>
      <c r="O8" s="96"/>
      <c r="P8" s="801"/>
      <c r="Q8" s="71"/>
      <c r="R8" s="96"/>
      <c r="S8" s="97"/>
      <c r="T8" s="96"/>
      <c r="U8" s="782"/>
      <c r="V8" s="97"/>
      <c r="W8" s="97"/>
      <c r="X8" s="96"/>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row>
    <row r="9" spans="1:55" s="45" customFormat="1" x14ac:dyDescent="0.2">
      <c r="A9" s="796">
        <v>6</v>
      </c>
      <c r="B9" s="71"/>
      <c r="C9" s="71"/>
      <c r="D9" s="76"/>
      <c r="E9" s="35"/>
      <c r="F9" s="797">
        <f t="shared" si="0"/>
        <v>0</v>
      </c>
      <c r="G9" s="675">
        <f t="shared" si="1"/>
        <v>0</v>
      </c>
      <c r="H9" s="675">
        <f t="shared" si="2"/>
        <v>0</v>
      </c>
      <c r="I9" s="675">
        <f t="shared" si="3"/>
        <v>0</v>
      </c>
      <c r="J9" s="675">
        <f t="shared" si="4"/>
        <v>0</v>
      </c>
      <c r="K9" s="675">
        <f t="shared" si="5"/>
        <v>0</v>
      </c>
      <c r="L9" s="675">
        <f t="shared" si="6"/>
        <v>0</v>
      </c>
      <c r="M9" s="667">
        <f t="shared" si="7"/>
        <v>0</v>
      </c>
      <c r="N9" s="152"/>
      <c r="O9" s="96"/>
      <c r="P9" s="801"/>
      <c r="Q9" s="71"/>
      <c r="R9" s="96"/>
      <c r="S9" s="97"/>
      <c r="T9" s="96"/>
      <c r="U9" s="782"/>
      <c r="V9" s="97"/>
      <c r="W9" s="97"/>
      <c r="X9" s="96"/>
      <c r="Y9" s="782"/>
      <c r="Z9" s="782"/>
      <c r="AA9" s="782"/>
      <c r="AB9" s="782"/>
      <c r="AC9" s="782"/>
      <c r="AD9" s="782"/>
      <c r="AE9" s="782"/>
      <c r="AF9" s="782"/>
      <c r="AG9" s="782"/>
      <c r="AH9" s="782"/>
      <c r="AI9" s="782"/>
      <c r="AJ9" s="782"/>
      <c r="AK9" s="782"/>
      <c r="AL9" s="782"/>
      <c r="AM9" s="782"/>
      <c r="AN9" s="782"/>
      <c r="AO9" s="782"/>
      <c r="AP9" s="782"/>
      <c r="AQ9" s="782"/>
      <c r="AR9" s="782"/>
      <c r="AS9" s="782"/>
      <c r="AT9" s="782"/>
      <c r="AU9" s="782"/>
      <c r="AV9" s="782"/>
      <c r="AW9" s="782"/>
      <c r="AX9" s="782"/>
      <c r="AY9" s="782"/>
      <c r="AZ9" s="782"/>
      <c r="BA9" s="782"/>
      <c r="BB9" s="782"/>
      <c r="BC9" s="782"/>
    </row>
    <row r="10" spans="1:55" s="45" customFormat="1" x14ac:dyDescent="0.2">
      <c r="A10" s="796">
        <v>7</v>
      </c>
      <c r="B10" s="71"/>
      <c r="C10" s="71"/>
      <c r="D10" s="76"/>
      <c r="E10" s="35"/>
      <c r="F10" s="797">
        <f t="shared" si="0"/>
        <v>0</v>
      </c>
      <c r="G10" s="675">
        <f t="shared" si="1"/>
        <v>0</v>
      </c>
      <c r="H10" s="675">
        <f t="shared" si="2"/>
        <v>0</v>
      </c>
      <c r="I10" s="675">
        <f t="shared" si="3"/>
        <v>0</v>
      </c>
      <c r="J10" s="675">
        <f t="shared" si="4"/>
        <v>0</v>
      </c>
      <c r="K10" s="675">
        <f t="shared" si="5"/>
        <v>0</v>
      </c>
      <c r="L10" s="675">
        <f t="shared" si="6"/>
        <v>0</v>
      </c>
      <c r="M10" s="667">
        <f t="shared" si="7"/>
        <v>0</v>
      </c>
      <c r="N10" s="152"/>
      <c r="O10" s="96"/>
      <c r="P10" s="801"/>
      <c r="Q10" s="71"/>
      <c r="R10" s="96"/>
      <c r="S10" s="97"/>
      <c r="T10" s="96"/>
      <c r="U10" s="782"/>
      <c r="V10" s="97"/>
      <c r="W10" s="97"/>
      <c r="X10" s="96"/>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2"/>
      <c r="AY10" s="782"/>
      <c r="AZ10" s="782"/>
      <c r="BA10" s="782"/>
      <c r="BB10" s="782"/>
      <c r="BC10" s="782"/>
    </row>
    <row r="11" spans="1:55" s="45" customFormat="1" x14ac:dyDescent="0.2">
      <c r="A11" s="796">
        <v>8</v>
      </c>
      <c r="B11" s="71"/>
      <c r="C11" s="71"/>
      <c r="D11" s="76"/>
      <c r="E11" s="35"/>
      <c r="F11" s="797">
        <f t="shared" si="0"/>
        <v>0</v>
      </c>
      <c r="G11" s="675">
        <f t="shared" si="1"/>
        <v>0</v>
      </c>
      <c r="H11" s="675">
        <f t="shared" si="2"/>
        <v>0</v>
      </c>
      <c r="I11" s="675">
        <f t="shared" si="3"/>
        <v>0</v>
      </c>
      <c r="J11" s="675">
        <f t="shared" si="4"/>
        <v>0</v>
      </c>
      <c r="K11" s="675">
        <f t="shared" si="5"/>
        <v>0</v>
      </c>
      <c r="L11" s="675">
        <f t="shared" si="6"/>
        <v>0</v>
      </c>
      <c r="M11" s="667">
        <f t="shared" si="7"/>
        <v>0</v>
      </c>
      <c r="N11" s="152"/>
      <c r="O11" s="96"/>
      <c r="P11" s="801"/>
      <c r="Q11" s="71"/>
      <c r="R11" s="96"/>
      <c r="S11" s="97"/>
      <c r="T11" s="96"/>
      <c r="U11" s="782"/>
      <c r="V11" s="97"/>
      <c r="W11" s="97"/>
      <c r="X11" s="96"/>
      <c r="Y11" s="782"/>
      <c r="Z11" s="782"/>
      <c r="AA11" s="782"/>
      <c r="AB11" s="782"/>
      <c r="AC11" s="782"/>
      <c r="AD11" s="782"/>
      <c r="AE11" s="782"/>
      <c r="AF11" s="782"/>
      <c r="AG11" s="782"/>
      <c r="AH11" s="782"/>
      <c r="AI11" s="782"/>
      <c r="AJ11" s="782"/>
      <c r="AK11" s="782"/>
      <c r="AL11" s="782"/>
      <c r="AM11" s="782"/>
      <c r="AN11" s="782"/>
      <c r="AO11" s="782"/>
      <c r="AP11" s="782"/>
      <c r="AQ11" s="782"/>
      <c r="AR11" s="782"/>
      <c r="AS11" s="782"/>
      <c r="AT11" s="782"/>
      <c r="AU11" s="782"/>
      <c r="AV11" s="782"/>
      <c r="AW11" s="782"/>
      <c r="AX11" s="782"/>
      <c r="AY11" s="782"/>
      <c r="AZ11" s="782"/>
      <c r="BA11" s="782"/>
      <c r="BB11" s="782"/>
      <c r="BC11" s="782"/>
    </row>
    <row r="12" spans="1:55" s="45" customFormat="1" x14ac:dyDescent="0.2">
      <c r="A12" s="796">
        <v>9</v>
      </c>
      <c r="B12" s="71"/>
      <c r="C12" s="71"/>
      <c r="D12" s="76"/>
      <c r="E12" s="35"/>
      <c r="F12" s="797">
        <f t="shared" si="0"/>
        <v>0</v>
      </c>
      <c r="G12" s="675">
        <f t="shared" si="1"/>
        <v>0</v>
      </c>
      <c r="H12" s="675">
        <f t="shared" si="2"/>
        <v>0</v>
      </c>
      <c r="I12" s="675">
        <f t="shared" si="3"/>
        <v>0</v>
      </c>
      <c r="J12" s="675">
        <f t="shared" si="4"/>
        <v>0</v>
      </c>
      <c r="K12" s="675">
        <f t="shared" si="5"/>
        <v>0</v>
      </c>
      <c r="L12" s="675">
        <f t="shared" si="6"/>
        <v>0</v>
      </c>
      <c r="M12" s="667">
        <f t="shared" si="7"/>
        <v>0</v>
      </c>
      <c r="N12" s="152"/>
      <c r="O12" s="96"/>
      <c r="P12" s="801"/>
      <c r="Q12" s="71"/>
      <c r="R12" s="96"/>
      <c r="S12" s="97"/>
      <c r="T12" s="96"/>
      <c r="U12" s="782"/>
      <c r="V12" s="97"/>
      <c r="W12" s="97"/>
      <c r="X12" s="96"/>
      <c r="Y12" s="782"/>
      <c r="Z12" s="782"/>
      <c r="AA12" s="431"/>
      <c r="AB12" s="782"/>
      <c r="AC12" s="782"/>
      <c r="AD12" s="782"/>
      <c r="AE12" s="782"/>
      <c r="AF12" s="782"/>
      <c r="AG12" s="782"/>
      <c r="AH12" s="782"/>
      <c r="AI12" s="782"/>
      <c r="AJ12" s="782"/>
      <c r="AK12" s="782"/>
      <c r="AL12" s="782"/>
      <c r="AM12" s="782"/>
      <c r="AN12" s="782"/>
      <c r="AO12" s="782"/>
      <c r="AP12" s="782"/>
      <c r="AQ12" s="782"/>
      <c r="AR12" s="782"/>
      <c r="AS12" s="782"/>
      <c r="AT12" s="782"/>
      <c r="AU12" s="782"/>
      <c r="AV12" s="782"/>
      <c r="AW12" s="782"/>
      <c r="AX12" s="782"/>
      <c r="AY12" s="782"/>
      <c r="AZ12" s="782"/>
      <c r="BA12" s="782"/>
      <c r="BB12" s="782"/>
      <c r="BC12" s="782"/>
    </row>
    <row r="13" spans="1:55" s="45" customFormat="1" x14ac:dyDescent="0.2">
      <c r="A13" s="796">
        <v>10</v>
      </c>
      <c r="B13" s="71"/>
      <c r="C13" s="71"/>
      <c r="D13" s="76"/>
      <c r="E13" s="35"/>
      <c r="F13" s="797">
        <f t="shared" si="0"/>
        <v>0</v>
      </c>
      <c r="G13" s="675">
        <f t="shared" si="1"/>
        <v>0</v>
      </c>
      <c r="H13" s="675">
        <f t="shared" si="2"/>
        <v>0</v>
      </c>
      <c r="I13" s="675">
        <f t="shared" si="3"/>
        <v>0</v>
      </c>
      <c r="J13" s="675">
        <f t="shared" si="4"/>
        <v>0</v>
      </c>
      <c r="K13" s="675">
        <f t="shared" si="5"/>
        <v>0</v>
      </c>
      <c r="L13" s="675">
        <f t="shared" si="6"/>
        <v>0</v>
      </c>
      <c r="M13" s="667">
        <f t="shared" si="7"/>
        <v>0</v>
      </c>
      <c r="N13" s="152"/>
      <c r="O13" s="96"/>
      <c r="P13" s="801"/>
      <c r="Q13" s="71"/>
      <c r="R13" s="96"/>
      <c r="S13" s="97"/>
      <c r="T13" s="96"/>
      <c r="U13" s="782"/>
      <c r="V13" s="97"/>
      <c r="W13" s="97"/>
      <c r="X13" s="96"/>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2"/>
      <c r="BC13" s="782"/>
    </row>
    <row r="14" spans="1:55" s="45" customFormat="1" x14ac:dyDescent="0.2">
      <c r="A14" s="796">
        <v>11</v>
      </c>
      <c r="B14" s="71"/>
      <c r="C14" s="71"/>
      <c r="D14" s="76"/>
      <c r="E14" s="35"/>
      <c r="F14" s="797">
        <f t="shared" si="0"/>
        <v>0</v>
      </c>
      <c r="G14" s="675">
        <f t="shared" si="1"/>
        <v>0</v>
      </c>
      <c r="H14" s="675">
        <f t="shared" si="2"/>
        <v>0</v>
      </c>
      <c r="I14" s="675">
        <f t="shared" si="3"/>
        <v>0</v>
      </c>
      <c r="J14" s="675">
        <f t="shared" si="4"/>
        <v>0</v>
      </c>
      <c r="K14" s="675">
        <f t="shared" si="5"/>
        <v>0</v>
      </c>
      <c r="L14" s="675">
        <f t="shared" si="6"/>
        <v>0</v>
      </c>
      <c r="M14" s="667">
        <f t="shared" si="7"/>
        <v>0</v>
      </c>
      <c r="N14" s="152"/>
      <c r="O14" s="96"/>
      <c r="P14" s="801"/>
      <c r="Q14" s="71"/>
      <c r="R14" s="96"/>
      <c r="S14" s="97"/>
      <c r="T14" s="96"/>
      <c r="U14" s="782"/>
      <c r="V14" s="97"/>
      <c r="W14" s="97"/>
      <c r="X14" s="96"/>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2"/>
    </row>
    <row r="15" spans="1:55" s="45" customFormat="1" x14ac:dyDescent="0.2">
      <c r="A15" s="796">
        <v>12</v>
      </c>
      <c r="B15" s="71"/>
      <c r="C15" s="71"/>
      <c r="D15" s="76"/>
      <c r="E15" s="35"/>
      <c r="F15" s="797">
        <f t="shared" si="0"/>
        <v>0</v>
      </c>
      <c r="G15" s="675">
        <f t="shared" si="1"/>
        <v>0</v>
      </c>
      <c r="H15" s="675">
        <f t="shared" si="2"/>
        <v>0</v>
      </c>
      <c r="I15" s="675">
        <f t="shared" si="3"/>
        <v>0</v>
      </c>
      <c r="J15" s="675">
        <f t="shared" si="4"/>
        <v>0</v>
      </c>
      <c r="K15" s="675">
        <f t="shared" si="5"/>
        <v>0</v>
      </c>
      <c r="L15" s="675">
        <f t="shared" si="6"/>
        <v>0</v>
      </c>
      <c r="M15" s="667">
        <f t="shared" si="7"/>
        <v>0</v>
      </c>
      <c r="N15" s="152"/>
      <c r="O15" s="96"/>
      <c r="P15" s="801"/>
      <c r="Q15" s="71"/>
      <c r="R15" s="96"/>
      <c r="S15" s="97"/>
      <c r="T15" s="96"/>
      <c r="U15" s="782"/>
      <c r="V15" s="97"/>
      <c r="W15" s="97"/>
      <c r="X15" s="96"/>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2"/>
    </row>
    <row r="16" spans="1:55" s="45" customFormat="1" x14ac:dyDescent="0.2">
      <c r="A16" s="796">
        <v>13</v>
      </c>
      <c r="B16" s="71"/>
      <c r="C16" s="71"/>
      <c r="D16" s="76"/>
      <c r="E16" s="35"/>
      <c r="F16" s="797">
        <f t="shared" si="0"/>
        <v>0</v>
      </c>
      <c r="G16" s="675">
        <f t="shared" si="1"/>
        <v>0</v>
      </c>
      <c r="H16" s="675">
        <f t="shared" si="2"/>
        <v>0</v>
      </c>
      <c r="I16" s="675">
        <f t="shared" si="3"/>
        <v>0</v>
      </c>
      <c r="J16" s="675">
        <f t="shared" si="4"/>
        <v>0</v>
      </c>
      <c r="K16" s="675">
        <f t="shared" si="5"/>
        <v>0</v>
      </c>
      <c r="L16" s="675">
        <f t="shared" si="6"/>
        <v>0</v>
      </c>
      <c r="M16" s="667">
        <f t="shared" si="7"/>
        <v>0</v>
      </c>
      <c r="N16" s="152"/>
      <c r="O16" s="96"/>
      <c r="P16" s="801"/>
      <c r="Q16" s="71"/>
      <c r="R16" s="96"/>
      <c r="S16" s="97"/>
      <c r="T16" s="96"/>
      <c r="U16" s="782"/>
      <c r="V16" s="97"/>
      <c r="W16" s="97"/>
      <c r="X16" s="96"/>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2"/>
    </row>
    <row r="17" spans="1:55" s="45" customFormat="1" x14ac:dyDescent="0.2">
      <c r="A17" s="796">
        <v>14</v>
      </c>
      <c r="B17" s="71"/>
      <c r="C17" s="71"/>
      <c r="D17" s="76"/>
      <c r="E17" s="35"/>
      <c r="F17" s="797">
        <f t="shared" si="0"/>
        <v>0</v>
      </c>
      <c r="G17" s="675">
        <f t="shared" si="1"/>
        <v>0</v>
      </c>
      <c r="H17" s="675">
        <f t="shared" si="2"/>
        <v>0</v>
      </c>
      <c r="I17" s="675">
        <f t="shared" si="3"/>
        <v>0</v>
      </c>
      <c r="J17" s="675">
        <f t="shared" si="4"/>
        <v>0</v>
      </c>
      <c r="K17" s="675">
        <f t="shared" si="5"/>
        <v>0</v>
      </c>
      <c r="L17" s="675">
        <f t="shared" si="6"/>
        <v>0</v>
      </c>
      <c r="M17" s="667">
        <f t="shared" si="7"/>
        <v>0</v>
      </c>
      <c r="N17" s="152"/>
      <c r="O17" s="96"/>
      <c r="P17" s="801"/>
      <c r="Q17" s="71"/>
      <c r="R17" s="96"/>
      <c r="S17" s="97"/>
      <c r="T17" s="96"/>
      <c r="U17" s="782"/>
      <c r="V17" s="97"/>
      <c r="W17" s="97"/>
      <c r="X17" s="96"/>
      <c r="Y17" s="782"/>
      <c r="Z17" s="782"/>
      <c r="AA17" s="782"/>
      <c r="AB17" s="782"/>
      <c r="AC17" s="782"/>
      <c r="AD17" s="782"/>
      <c r="AE17" s="782"/>
      <c r="AF17" s="782"/>
      <c r="AG17" s="782"/>
      <c r="AH17" s="782"/>
      <c r="AI17" s="782"/>
      <c r="AJ17" s="782"/>
      <c r="AK17" s="782"/>
      <c r="AL17" s="782"/>
      <c r="AM17" s="782"/>
      <c r="AN17" s="782"/>
      <c r="AO17" s="782"/>
      <c r="AP17" s="782"/>
      <c r="AQ17" s="782"/>
      <c r="AR17" s="782"/>
      <c r="AS17" s="782"/>
      <c r="AT17" s="782"/>
      <c r="AU17" s="782"/>
      <c r="AV17" s="782"/>
      <c r="AW17" s="782"/>
      <c r="AX17" s="782"/>
      <c r="AY17" s="782"/>
      <c r="AZ17" s="782"/>
      <c r="BA17" s="782"/>
      <c r="BB17" s="782"/>
      <c r="BC17" s="782"/>
    </row>
    <row r="18" spans="1:55" s="45" customFormat="1" x14ac:dyDescent="0.2">
      <c r="A18" s="796">
        <v>15</v>
      </c>
      <c r="B18" s="71"/>
      <c r="C18" s="71"/>
      <c r="D18" s="76"/>
      <c r="E18" s="35"/>
      <c r="F18" s="797">
        <f t="shared" si="0"/>
        <v>0</v>
      </c>
      <c r="G18" s="675">
        <f t="shared" si="1"/>
        <v>0</v>
      </c>
      <c r="H18" s="675">
        <f t="shared" si="2"/>
        <v>0</v>
      </c>
      <c r="I18" s="675">
        <f t="shared" si="3"/>
        <v>0</v>
      </c>
      <c r="J18" s="675">
        <f t="shared" si="4"/>
        <v>0</v>
      </c>
      <c r="K18" s="675">
        <f t="shared" si="5"/>
        <v>0</v>
      </c>
      <c r="L18" s="675">
        <f t="shared" si="6"/>
        <v>0</v>
      </c>
      <c r="M18" s="667">
        <f t="shared" si="7"/>
        <v>0</v>
      </c>
      <c r="N18" s="152"/>
      <c r="O18" s="96"/>
      <c r="P18" s="801"/>
      <c r="Q18" s="71"/>
      <c r="R18" s="96"/>
      <c r="S18" s="97"/>
      <c r="T18" s="96"/>
      <c r="U18" s="782"/>
      <c r="V18" s="97"/>
      <c r="W18" s="97"/>
      <c r="X18" s="96"/>
      <c r="Y18" s="782"/>
      <c r="Z18" s="782"/>
      <c r="AA18" s="782"/>
      <c r="AB18" s="782"/>
      <c r="AC18" s="782"/>
      <c r="AD18" s="782"/>
      <c r="AE18" s="782"/>
      <c r="AF18" s="782"/>
      <c r="AG18" s="782"/>
      <c r="AH18" s="782"/>
      <c r="AI18" s="782"/>
      <c r="AJ18" s="782"/>
      <c r="AK18" s="782"/>
      <c r="AL18" s="782"/>
      <c r="AM18" s="782"/>
      <c r="AN18" s="782"/>
      <c r="AO18" s="782"/>
      <c r="AP18" s="782"/>
      <c r="AQ18" s="782"/>
      <c r="AR18" s="782"/>
      <c r="AS18" s="782"/>
      <c r="AT18" s="782"/>
      <c r="AU18" s="782"/>
      <c r="AV18" s="782"/>
      <c r="AW18" s="782"/>
      <c r="AX18" s="782"/>
      <c r="AY18" s="782"/>
      <c r="AZ18" s="782"/>
      <c r="BA18" s="782"/>
      <c r="BB18" s="782"/>
      <c r="BC18" s="782"/>
    </row>
    <row r="19" spans="1:55" s="45" customFormat="1" x14ac:dyDescent="0.2">
      <c r="A19" s="796">
        <v>16</v>
      </c>
      <c r="B19" s="71"/>
      <c r="C19" s="71"/>
      <c r="D19" s="76"/>
      <c r="E19" s="35"/>
      <c r="F19" s="797">
        <f t="shared" si="0"/>
        <v>0</v>
      </c>
      <c r="G19" s="675">
        <f t="shared" si="1"/>
        <v>0</v>
      </c>
      <c r="H19" s="675">
        <f t="shared" si="2"/>
        <v>0</v>
      </c>
      <c r="I19" s="675">
        <f t="shared" si="3"/>
        <v>0</v>
      </c>
      <c r="J19" s="675">
        <f t="shared" si="4"/>
        <v>0</v>
      </c>
      <c r="K19" s="675">
        <f t="shared" si="5"/>
        <v>0</v>
      </c>
      <c r="L19" s="675">
        <f t="shared" si="6"/>
        <v>0</v>
      </c>
      <c r="M19" s="667">
        <f t="shared" si="7"/>
        <v>0</v>
      </c>
      <c r="N19" s="152"/>
      <c r="O19" s="96"/>
      <c r="P19" s="801"/>
      <c r="Q19" s="71"/>
      <c r="R19" s="96"/>
      <c r="S19" s="97"/>
      <c r="T19" s="96"/>
      <c r="U19" s="782"/>
      <c r="V19" s="97"/>
      <c r="W19" s="97"/>
      <c r="X19" s="96"/>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row>
    <row r="20" spans="1:55" s="45" customFormat="1" x14ac:dyDescent="0.2">
      <c r="A20" s="796">
        <v>17</v>
      </c>
      <c r="B20" s="71"/>
      <c r="C20" s="71"/>
      <c r="D20" s="76"/>
      <c r="E20" s="35"/>
      <c r="F20" s="797">
        <f t="shared" si="0"/>
        <v>0</v>
      </c>
      <c r="G20" s="675">
        <f t="shared" si="1"/>
        <v>0</v>
      </c>
      <c r="H20" s="675">
        <f t="shared" si="2"/>
        <v>0</v>
      </c>
      <c r="I20" s="675">
        <f t="shared" si="3"/>
        <v>0</v>
      </c>
      <c r="J20" s="675">
        <f t="shared" si="4"/>
        <v>0</v>
      </c>
      <c r="K20" s="675">
        <f t="shared" si="5"/>
        <v>0</v>
      </c>
      <c r="L20" s="675">
        <f t="shared" si="6"/>
        <v>0</v>
      </c>
      <c r="M20" s="667">
        <f t="shared" si="7"/>
        <v>0</v>
      </c>
      <c r="N20" s="152"/>
      <c r="O20" s="96"/>
      <c r="P20" s="801"/>
      <c r="Q20" s="71"/>
      <c r="R20" s="96"/>
      <c r="S20" s="97"/>
      <c r="T20" s="96"/>
      <c r="U20" s="782"/>
      <c r="V20" s="97"/>
      <c r="W20" s="97"/>
      <c r="X20" s="96"/>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row>
    <row r="21" spans="1:55" s="45" customFormat="1" x14ac:dyDescent="0.2">
      <c r="A21" s="796">
        <v>18</v>
      </c>
      <c r="B21" s="71"/>
      <c r="C21" s="71"/>
      <c r="D21" s="76"/>
      <c r="E21" s="35"/>
      <c r="F21" s="797">
        <f t="shared" si="0"/>
        <v>0</v>
      </c>
      <c r="G21" s="675">
        <f t="shared" si="1"/>
        <v>0</v>
      </c>
      <c r="H21" s="675">
        <f t="shared" si="2"/>
        <v>0</v>
      </c>
      <c r="I21" s="675">
        <f t="shared" si="3"/>
        <v>0</v>
      </c>
      <c r="J21" s="675">
        <f t="shared" si="4"/>
        <v>0</v>
      </c>
      <c r="K21" s="675">
        <f t="shared" si="5"/>
        <v>0</v>
      </c>
      <c r="L21" s="675">
        <f t="shared" si="6"/>
        <v>0</v>
      </c>
      <c r="M21" s="667">
        <f t="shared" si="7"/>
        <v>0</v>
      </c>
      <c r="N21" s="152"/>
      <c r="O21" s="96"/>
      <c r="P21" s="801"/>
      <c r="Q21" s="71"/>
      <c r="R21" s="96"/>
      <c r="S21" s="97"/>
      <c r="T21" s="96"/>
      <c r="U21" s="782"/>
      <c r="V21" s="97"/>
      <c r="W21" s="97"/>
      <c r="X21" s="96"/>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row>
    <row r="22" spans="1:55" s="45" customFormat="1" x14ac:dyDescent="0.2">
      <c r="A22" s="796">
        <v>19</v>
      </c>
      <c r="B22" s="71"/>
      <c r="C22" s="71"/>
      <c r="D22" s="76"/>
      <c r="E22" s="35"/>
      <c r="F22" s="797">
        <f t="shared" si="0"/>
        <v>0</v>
      </c>
      <c r="G22" s="675">
        <f t="shared" si="1"/>
        <v>0</v>
      </c>
      <c r="H22" s="675">
        <f t="shared" si="2"/>
        <v>0</v>
      </c>
      <c r="I22" s="675">
        <f t="shared" si="3"/>
        <v>0</v>
      </c>
      <c r="J22" s="675">
        <f t="shared" si="4"/>
        <v>0</v>
      </c>
      <c r="K22" s="675">
        <f t="shared" si="5"/>
        <v>0</v>
      </c>
      <c r="L22" s="675">
        <f t="shared" si="6"/>
        <v>0</v>
      </c>
      <c r="M22" s="667">
        <f t="shared" si="7"/>
        <v>0</v>
      </c>
      <c r="N22" s="152"/>
      <c r="O22" s="96"/>
      <c r="P22" s="801"/>
      <c r="Q22" s="71"/>
      <c r="R22" s="96"/>
      <c r="S22" s="97"/>
      <c r="T22" s="96"/>
      <c r="U22" s="782"/>
      <c r="V22" s="97"/>
      <c r="W22" s="97"/>
      <c r="X22" s="96"/>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row>
    <row r="23" spans="1:55" s="45" customFormat="1" x14ac:dyDescent="0.2">
      <c r="A23" s="796">
        <v>20</v>
      </c>
      <c r="B23" s="71"/>
      <c r="C23" s="71"/>
      <c r="D23" s="76"/>
      <c r="E23" s="35"/>
      <c r="F23" s="797">
        <f t="shared" si="0"/>
        <v>0</v>
      </c>
      <c r="G23" s="675">
        <f t="shared" si="1"/>
        <v>0</v>
      </c>
      <c r="H23" s="675">
        <f t="shared" si="2"/>
        <v>0</v>
      </c>
      <c r="I23" s="675">
        <f t="shared" si="3"/>
        <v>0</v>
      </c>
      <c r="J23" s="675">
        <f t="shared" si="4"/>
        <v>0</v>
      </c>
      <c r="K23" s="675">
        <f t="shared" si="5"/>
        <v>0</v>
      </c>
      <c r="L23" s="675">
        <f t="shared" si="6"/>
        <v>0</v>
      </c>
      <c r="M23" s="667">
        <f t="shared" si="7"/>
        <v>0</v>
      </c>
      <c r="N23" s="152"/>
      <c r="O23" s="96"/>
      <c r="P23" s="801"/>
      <c r="Q23" s="71"/>
      <c r="R23" s="96"/>
      <c r="S23" s="97"/>
      <c r="T23" s="96"/>
      <c r="U23" s="782"/>
      <c r="V23" s="97"/>
      <c r="W23" s="97"/>
      <c r="X23" s="96"/>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row>
    <row r="24" spans="1:55" s="45" customFormat="1" x14ac:dyDescent="0.2">
      <c r="A24" s="796">
        <v>21</v>
      </c>
      <c r="B24" s="71"/>
      <c r="C24" s="71"/>
      <c r="D24" s="76"/>
      <c r="E24" s="35"/>
      <c r="F24" s="797">
        <f t="shared" si="0"/>
        <v>0</v>
      </c>
      <c r="G24" s="675">
        <f t="shared" si="1"/>
        <v>0</v>
      </c>
      <c r="H24" s="675">
        <f t="shared" si="2"/>
        <v>0</v>
      </c>
      <c r="I24" s="675">
        <f t="shared" si="3"/>
        <v>0</v>
      </c>
      <c r="J24" s="675">
        <f t="shared" si="4"/>
        <v>0</v>
      </c>
      <c r="K24" s="675">
        <f t="shared" si="5"/>
        <v>0</v>
      </c>
      <c r="L24" s="675">
        <f t="shared" si="6"/>
        <v>0</v>
      </c>
      <c r="M24" s="667">
        <f t="shared" si="7"/>
        <v>0</v>
      </c>
      <c r="N24" s="152"/>
      <c r="O24" s="96"/>
      <c r="P24" s="801"/>
      <c r="Q24" s="71"/>
      <c r="R24" s="96"/>
      <c r="S24" s="97"/>
      <c r="T24" s="96"/>
      <c r="U24" s="782"/>
      <c r="V24" s="97"/>
      <c r="W24" s="97"/>
      <c r="X24" s="96"/>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row>
    <row r="25" spans="1:55" s="45" customFormat="1" x14ac:dyDescent="0.2">
      <c r="A25" s="796">
        <v>22</v>
      </c>
      <c r="B25" s="71"/>
      <c r="C25" s="71"/>
      <c r="D25" s="76"/>
      <c r="E25" s="35"/>
      <c r="F25" s="797">
        <f t="shared" si="0"/>
        <v>0</v>
      </c>
      <c r="G25" s="675">
        <f t="shared" si="1"/>
        <v>0</v>
      </c>
      <c r="H25" s="675">
        <f t="shared" si="2"/>
        <v>0</v>
      </c>
      <c r="I25" s="675">
        <f t="shared" si="3"/>
        <v>0</v>
      </c>
      <c r="J25" s="675">
        <f t="shared" si="4"/>
        <v>0</v>
      </c>
      <c r="K25" s="675">
        <f t="shared" si="5"/>
        <v>0</v>
      </c>
      <c r="L25" s="675">
        <f t="shared" si="6"/>
        <v>0</v>
      </c>
      <c r="M25" s="667">
        <f t="shared" si="7"/>
        <v>0</v>
      </c>
      <c r="N25" s="152"/>
      <c r="O25" s="96"/>
      <c r="P25" s="801"/>
      <c r="Q25" s="71"/>
      <c r="R25" s="96"/>
      <c r="S25" s="97"/>
      <c r="T25" s="96"/>
      <c r="U25" s="782"/>
      <c r="V25" s="97"/>
      <c r="W25" s="97"/>
      <c r="X25" s="96"/>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row>
    <row r="26" spans="1:55" s="45" customFormat="1" x14ac:dyDescent="0.2">
      <c r="A26" s="796">
        <v>23</v>
      </c>
      <c r="B26" s="71"/>
      <c r="C26" s="71"/>
      <c r="D26" s="76"/>
      <c r="E26" s="35"/>
      <c r="F26" s="797">
        <f t="shared" si="0"/>
        <v>0</v>
      </c>
      <c r="G26" s="675">
        <f t="shared" si="1"/>
        <v>0</v>
      </c>
      <c r="H26" s="675">
        <f t="shared" si="2"/>
        <v>0</v>
      </c>
      <c r="I26" s="675">
        <f t="shared" si="3"/>
        <v>0</v>
      </c>
      <c r="J26" s="675">
        <f t="shared" si="4"/>
        <v>0</v>
      </c>
      <c r="K26" s="675">
        <f t="shared" si="5"/>
        <v>0</v>
      </c>
      <c r="L26" s="675">
        <f t="shared" si="6"/>
        <v>0</v>
      </c>
      <c r="M26" s="667">
        <f t="shared" si="7"/>
        <v>0</v>
      </c>
      <c r="N26" s="152"/>
      <c r="O26" s="96"/>
      <c r="P26" s="801"/>
      <c r="Q26" s="71"/>
      <c r="R26" s="96"/>
      <c r="S26" s="97"/>
      <c r="T26" s="96"/>
      <c r="U26" s="782"/>
      <c r="V26" s="97"/>
      <c r="W26" s="97"/>
      <c r="X26" s="96"/>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2"/>
      <c r="BC26" s="782"/>
    </row>
    <row r="27" spans="1:55" s="45" customFormat="1" x14ac:dyDescent="0.2">
      <c r="A27" s="796">
        <v>24</v>
      </c>
      <c r="B27" s="71"/>
      <c r="C27" s="71"/>
      <c r="D27" s="76"/>
      <c r="E27" s="35"/>
      <c r="F27" s="797">
        <f t="shared" si="0"/>
        <v>0</v>
      </c>
      <c r="G27" s="675">
        <f t="shared" si="1"/>
        <v>0</v>
      </c>
      <c r="H27" s="675">
        <f t="shared" si="2"/>
        <v>0</v>
      </c>
      <c r="I27" s="675">
        <f t="shared" si="3"/>
        <v>0</v>
      </c>
      <c r="J27" s="675">
        <f t="shared" si="4"/>
        <v>0</v>
      </c>
      <c r="K27" s="675">
        <f t="shared" si="5"/>
        <v>0</v>
      </c>
      <c r="L27" s="675">
        <f t="shared" si="6"/>
        <v>0</v>
      </c>
      <c r="M27" s="667">
        <f t="shared" si="7"/>
        <v>0</v>
      </c>
      <c r="N27" s="152"/>
      <c r="O27" s="96"/>
      <c r="P27" s="801"/>
      <c r="Q27" s="71"/>
      <c r="R27" s="96"/>
      <c r="S27" s="97"/>
      <c r="T27" s="96"/>
      <c r="U27" s="782"/>
      <c r="V27" s="97"/>
      <c r="W27" s="97"/>
      <c r="X27" s="96"/>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2"/>
      <c r="BC27" s="782"/>
    </row>
    <row r="28" spans="1:55" s="45" customFormat="1" x14ac:dyDescent="0.2">
      <c r="A28" s="796">
        <v>25</v>
      </c>
      <c r="B28" s="71"/>
      <c r="C28" s="71"/>
      <c r="D28" s="76"/>
      <c r="E28" s="35"/>
      <c r="F28" s="797">
        <f t="shared" si="0"/>
        <v>0</v>
      </c>
      <c r="G28" s="675">
        <f t="shared" si="1"/>
        <v>0</v>
      </c>
      <c r="H28" s="675">
        <f t="shared" si="2"/>
        <v>0</v>
      </c>
      <c r="I28" s="675">
        <f t="shared" si="3"/>
        <v>0</v>
      </c>
      <c r="J28" s="675">
        <f t="shared" si="4"/>
        <v>0</v>
      </c>
      <c r="K28" s="675">
        <f t="shared" si="5"/>
        <v>0</v>
      </c>
      <c r="L28" s="675">
        <f t="shared" si="6"/>
        <v>0</v>
      </c>
      <c r="M28" s="667">
        <f t="shared" si="7"/>
        <v>0</v>
      </c>
      <c r="N28" s="152"/>
      <c r="O28" s="96"/>
      <c r="P28" s="801"/>
      <c r="Q28" s="71"/>
      <c r="R28" s="96"/>
      <c r="S28" s="97"/>
      <c r="T28" s="96"/>
      <c r="U28" s="782"/>
      <c r="V28" s="97"/>
      <c r="W28" s="97"/>
      <c r="X28" s="96"/>
      <c r="Y28" s="782"/>
      <c r="Z28" s="782"/>
      <c r="AA28" s="782"/>
      <c r="AB28" s="782"/>
      <c r="AC28" s="782"/>
      <c r="AD28" s="782"/>
      <c r="AE28" s="782"/>
      <c r="AF28" s="782"/>
      <c r="AG28" s="782"/>
      <c r="AH28" s="782"/>
      <c r="AI28" s="782"/>
      <c r="AJ28" s="782"/>
      <c r="AK28" s="782"/>
      <c r="AL28" s="782"/>
      <c r="AM28" s="782"/>
      <c r="AN28" s="782"/>
      <c r="AO28" s="782"/>
      <c r="AP28" s="782"/>
      <c r="AQ28" s="782"/>
      <c r="AR28" s="782"/>
      <c r="AS28" s="782"/>
      <c r="AT28" s="782"/>
      <c r="AU28" s="782"/>
      <c r="AV28" s="782"/>
      <c r="AW28" s="782"/>
      <c r="AX28" s="782"/>
      <c r="AY28" s="782"/>
      <c r="AZ28" s="782"/>
      <c r="BA28" s="782"/>
      <c r="BB28" s="782"/>
      <c r="BC28" s="782"/>
    </row>
    <row r="29" spans="1:55" s="45" customFormat="1" x14ac:dyDescent="0.2">
      <c r="A29" s="796">
        <v>26</v>
      </c>
      <c r="B29" s="71"/>
      <c r="C29" s="71"/>
      <c r="D29" s="76"/>
      <c r="E29" s="35"/>
      <c r="F29" s="797">
        <f t="shared" si="0"/>
        <v>0</v>
      </c>
      <c r="G29" s="675">
        <f t="shared" si="1"/>
        <v>0</v>
      </c>
      <c r="H29" s="675">
        <f t="shared" si="2"/>
        <v>0</v>
      </c>
      <c r="I29" s="675">
        <f t="shared" si="3"/>
        <v>0</v>
      </c>
      <c r="J29" s="675">
        <f t="shared" si="4"/>
        <v>0</v>
      </c>
      <c r="K29" s="675">
        <f t="shared" si="5"/>
        <v>0</v>
      </c>
      <c r="L29" s="675">
        <f t="shared" si="6"/>
        <v>0</v>
      </c>
      <c r="M29" s="667">
        <f t="shared" si="7"/>
        <v>0</v>
      </c>
      <c r="N29" s="152"/>
      <c r="O29" s="96"/>
      <c r="P29" s="801"/>
      <c r="Q29" s="71"/>
      <c r="R29" s="96"/>
      <c r="S29" s="97"/>
      <c r="T29" s="96"/>
      <c r="U29" s="782"/>
      <c r="V29" s="97"/>
      <c r="W29" s="97"/>
      <c r="X29" s="96"/>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row>
    <row r="30" spans="1:55" s="45" customFormat="1" x14ac:dyDescent="0.2">
      <c r="A30" s="796">
        <v>27</v>
      </c>
      <c r="B30" s="71"/>
      <c r="C30" s="71"/>
      <c r="D30" s="76"/>
      <c r="E30" s="35"/>
      <c r="F30" s="797">
        <f t="shared" ref="F30:F49" si="8">D30*E30</f>
        <v>0</v>
      </c>
      <c r="G30" s="675">
        <f t="shared" ref="G30:G49" si="9">IF(F30=0,0,IF(F30/D30&gt;SVGrund_lfd_tä,D30*Höchst_Tag,F30*SV_lfd))</f>
        <v>0</v>
      </c>
      <c r="H30" s="675">
        <f t="shared" ref="H30:H49" si="10">IF((F30-F30/1.1041)&gt;(0.5833*D30/7*SVGrund_lfd_tä),(0.5833*D30/7*Höchst_Tag),(F30-F30/1.1041)*SV_lfd)</f>
        <v>0</v>
      </c>
      <c r="I30" s="675">
        <f t="shared" ref="I30:I49" si="11">F30*DB</f>
        <v>0</v>
      </c>
      <c r="J30" s="675">
        <f t="shared" ref="J30:J49" si="12">F30*DZ</f>
        <v>0</v>
      </c>
      <c r="K30" s="675">
        <f t="shared" ref="K30:K49" si="13">F30*KommSt</f>
        <v>0</v>
      </c>
      <c r="L30" s="675">
        <f t="shared" ref="L30:L49" si="14">D30/5*U_Bahn</f>
        <v>0</v>
      </c>
      <c r="M30" s="667">
        <f t="shared" ref="M30:M49" si="15">SUM(G30:L30)</f>
        <v>0</v>
      </c>
      <c r="N30" s="152"/>
      <c r="O30" s="96"/>
      <c r="P30" s="801"/>
      <c r="Q30" s="71"/>
      <c r="R30" s="96"/>
      <c r="S30" s="97"/>
      <c r="T30" s="96"/>
      <c r="U30" s="782"/>
      <c r="V30" s="97"/>
      <c r="W30" s="97"/>
      <c r="X30" s="96"/>
      <c r="Y30" s="782"/>
      <c r="Z30" s="782"/>
      <c r="AA30" s="782"/>
      <c r="AB30" s="782"/>
      <c r="AC30" s="782"/>
      <c r="AD30" s="782"/>
      <c r="AE30" s="782"/>
      <c r="AF30" s="782"/>
      <c r="AG30" s="782"/>
      <c r="AH30" s="782"/>
      <c r="AI30" s="782"/>
      <c r="AJ30" s="782"/>
      <c r="AK30" s="782"/>
      <c r="AL30" s="782"/>
      <c r="AM30" s="782"/>
      <c r="AN30" s="782"/>
      <c r="AO30" s="782"/>
      <c r="AP30" s="782"/>
      <c r="AQ30" s="782"/>
      <c r="AR30" s="782"/>
      <c r="AS30" s="782"/>
      <c r="AT30" s="782"/>
      <c r="AU30" s="782"/>
      <c r="AV30" s="782"/>
      <c r="AW30" s="782"/>
      <c r="AX30" s="782"/>
      <c r="AY30" s="782"/>
      <c r="AZ30" s="782"/>
      <c r="BA30" s="782"/>
      <c r="BB30" s="782"/>
      <c r="BC30" s="782"/>
    </row>
    <row r="31" spans="1:55" s="45" customFormat="1" x14ac:dyDescent="0.2">
      <c r="A31" s="796">
        <v>28</v>
      </c>
      <c r="B31" s="71"/>
      <c r="C31" s="71"/>
      <c r="D31" s="76"/>
      <c r="E31" s="35"/>
      <c r="F31" s="797">
        <f t="shared" si="8"/>
        <v>0</v>
      </c>
      <c r="G31" s="675">
        <f t="shared" si="9"/>
        <v>0</v>
      </c>
      <c r="H31" s="675">
        <f t="shared" si="10"/>
        <v>0</v>
      </c>
      <c r="I31" s="675">
        <f t="shared" si="11"/>
        <v>0</v>
      </c>
      <c r="J31" s="675">
        <f t="shared" si="12"/>
        <v>0</v>
      </c>
      <c r="K31" s="675">
        <f t="shared" si="13"/>
        <v>0</v>
      </c>
      <c r="L31" s="675">
        <f t="shared" si="14"/>
        <v>0</v>
      </c>
      <c r="M31" s="667">
        <f t="shared" si="15"/>
        <v>0</v>
      </c>
      <c r="N31" s="152"/>
      <c r="O31" s="96"/>
      <c r="P31" s="801"/>
      <c r="Q31" s="71"/>
      <c r="R31" s="96"/>
      <c r="S31" s="97"/>
      <c r="T31" s="96"/>
      <c r="U31" s="782"/>
      <c r="V31" s="97"/>
      <c r="W31" s="97"/>
      <c r="X31" s="96"/>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row>
    <row r="32" spans="1:55" s="45" customFormat="1" x14ac:dyDescent="0.2">
      <c r="A32" s="796">
        <v>29</v>
      </c>
      <c r="B32" s="71"/>
      <c r="C32" s="71"/>
      <c r="D32" s="76"/>
      <c r="E32" s="35"/>
      <c r="F32" s="797">
        <f t="shared" si="8"/>
        <v>0</v>
      </c>
      <c r="G32" s="675">
        <f t="shared" si="9"/>
        <v>0</v>
      </c>
      <c r="H32" s="675">
        <f t="shared" si="10"/>
        <v>0</v>
      </c>
      <c r="I32" s="675">
        <f t="shared" si="11"/>
        <v>0</v>
      </c>
      <c r="J32" s="675">
        <f t="shared" si="12"/>
        <v>0</v>
      </c>
      <c r="K32" s="675">
        <f t="shared" si="13"/>
        <v>0</v>
      </c>
      <c r="L32" s="675">
        <f t="shared" si="14"/>
        <v>0</v>
      </c>
      <c r="M32" s="667">
        <f t="shared" si="15"/>
        <v>0</v>
      </c>
      <c r="N32" s="152"/>
      <c r="O32" s="96"/>
      <c r="P32" s="801"/>
      <c r="Q32" s="71"/>
      <c r="R32" s="96"/>
      <c r="S32" s="97"/>
      <c r="T32" s="96"/>
      <c r="U32" s="782"/>
      <c r="V32" s="97"/>
      <c r="W32" s="97"/>
      <c r="X32" s="96"/>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c r="BC32" s="782"/>
    </row>
    <row r="33" spans="1:55" s="45" customFormat="1" x14ac:dyDescent="0.2">
      <c r="A33" s="796">
        <v>30</v>
      </c>
      <c r="B33" s="71"/>
      <c r="C33" s="71"/>
      <c r="D33" s="76"/>
      <c r="E33" s="35"/>
      <c r="F33" s="797">
        <f t="shared" si="8"/>
        <v>0</v>
      </c>
      <c r="G33" s="675">
        <f t="shared" si="9"/>
        <v>0</v>
      </c>
      <c r="H33" s="675">
        <f t="shared" si="10"/>
        <v>0</v>
      </c>
      <c r="I33" s="675">
        <f t="shared" si="11"/>
        <v>0</v>
      </c>
      <c r="J33" s="675">
        <f t="shared" si="12"/>
        <v>0</v>
      </c>
      <c r="K33" s="675">
        <f t="shared" si="13"/>
        <v>0</v>
      </c>
      <c r="L33" s="675">
        <f t="shared" si="14"/>
        <v>0</v>
      </c>
      <c r="M33" s="667">
        <f t="shared" si="15"/>
        <v>0</v>
      </c>
      <c r="N33" s="152"/>
      <c r="O33" s="96"/>
      <c r="P33" s="801"/>
      <c r="Q33" s="71"/>
      <c r="R33" s="96"/>
      <c r="S33" s="97"/>
      <c r="T33" s="96"/>
      <c r="U33" s="782"/>
      <c r="V33" s="97"/>
      <c r="W33" s="97"/>
      <c r="X33" s="96"/>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row>
    <row r="34" spans="1:55" s="45" customFormat="1" x14ac:dyDescent="0.2">
      <c r="A34" s="796">
        <v>31</v>
      </c>
      <c r="B34" s="71"/>
      <c r="C34" s="71"/>
      <c r="D34" s="76"/>
      <c r="E34" s="35"/>
      <c r="F34" s="797">
        <f t="shared" si="8"/>
        <v>0</v>
      </c>
      <c r="G34" s="675">
        <f t="shared" si="9"/>
        <v>0</v>
      </c>
      <c r="H34" s="675">
        <f t="shared" si="10"/>
        <v>0</v>
      </c>
      <c r="I34" s="675">
        <f t="shared" si="11"/>
        <v>0</v>
      </c>
      <c r="J34" s="675">
        <f t="shared" si="12"/>
        <v>0</v>
      </c>
      <c r="K34" s="675">
        <f t="shared" si="13"/>
        <v>0</v>
      </c>
      <c r="L34" s="675">
        <f t="shared" si="14"/>
        <v>0</v>
      </c>
      <c r="M34" s="667">
        <f t="shared" si="15"/>
        <v>0</v>
      </c>
      <c r="N34" s="152"/>
      <c r="O34" s="96"/>
      <c r="P34" s="801"/>
      <c r="Q34" s="71"/>
      <c r="R34" s="96"/>
      <c r="S34" s="97"/>
      <c r="T34" s="96"/>
      <c r="U34" s="782"/>
      <c r="V34" s="97"/>
      <c r="W34" s="97"/>
      <c r="X34" s="96"/>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row>
    <row r="35" spans="1:55" s="45" customFormat="1" x14ac:dyDescent="0.2">
      <c r="A35" s="796">
        <v>32</v>
      </c>
      <c r="B35" s="71"/>
      <c r="C35" s="71"/>
      <c r="D35" s="76"/>
      <c r="E35" s="35"/>
      <c r="F35" s="797">
        <f t="shared" si="8"/>
        <v>0</v>
      </c>
      <c r="G35" s="675">
        <f t="shared" si="9"/>
        <v>0</v>
      </c>
      <c r="H35" s="675">
        <f t="shared" si="10"/>
        <v>0</v>
      </c>
      <c r="I35" s="675">
        <f t="shared" si="11"/>
        <v>0</v>
      </c>
      <c r="J35" s="675">
        <f t="shared" si="12"/>
        <v>0</v>
      </c>
      <c r="K35" s="675">
        <f t="shared" si="13"/>
        <v>0</v>
      </c>
      <c r="L35" s="675">
        <f t="shared" si="14"/>
        <v>0</v>
      </c>
      <c r="M35" s="667">
        <f t="shared" si="15"/>
        <v>0</v>
      </c>
      <c r="N35" s="152"/>
      <c r="O35" s="96"/>
      <c r="P35" s="801"/>
      <c r="Q35" s="71"/>
      <c r="R35" s="96"/>
      <c r="S35" s="97"/>
      <c r="T35" s="96"/>
      <c r="U35" s="782"/>
      <c r="V35" s="97"/>
      <c r="W35" s="97"/>
      <c r="X35" s="96"/>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row>
    <row r="36" spans="1:55" s="45" customFormat="1" x14ac:dyDescent="0.2">
      <c r="A36" s="796">
        <v>33</v>
      </c>
      <c r="B36" s="71"/>
      <c r="C36" s="71"/>
      <c r="D36" s="76"/>
      <c r="E36" s="35"/>
      <c r="F36" s="797">
        <f t="shared" si="8"/>
        <v>0</v>
      </c>
      <c r="G36" s="675">
        <f t="shared" si="9"/>
        <v>0</v>
      </c>
      <c r="H36" s="675">
        <f t="shared" si="10"/>
        <v>0</v>
      </c>
      <c r="I36" s="675">
        <f t="shared" si="11"/>
        <v>0</v>
      </c>
      <c r="J36" s="675">
        <f t="shared" si="12"/>
        <v>0</v>
      </c>
      <c r="K36" s="675">
        <f t="shared" si="13"/>
        <v>0</v>
      </c>
      <c r="L36" s="675">
        <f t="shared" si="14"/>
        <v>0</v>
      </c>
      <c r="M36" s="667">
        <f t="shared" si="15"/>
        <v>0</v>
      </c>
      <c r="N36" s="152"/>
      <c r="O36" s="96"/>
      <c r="P36" s="801"/>
      <c r="Q36" s="71"/>
      <c r="R36" s="96"/>
      <c r="S36" s="97"/>
      <c r="T36" s="96"/>
      <c r="U36" s="782"/>
      <c r="V36" s="97"/>
      <c r="W36" s="97"/>
      <c r="X36" s="96"/>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row>
    <row r="37" spans="1:55" s="45" customFormat="1" x14ac:dyDescent="0.2">
      <c r="A37" s="796">
        <v>34</v>
      </c>
      <c r="B37" s="71"/>
      <c r="C37" s="71"/>
      <c r="D37" s="76"/>
      <c r="E37" s="35"/>
      <c r="F37" s="797">
        <f t="shared" si="8"/>
        <v>0</v>
      </c>
      <c r="G37" s="675">
        <f t="shared" si="9"/>
        <v>0</v>
      </c>
      <c r="H37" s="675">
        <f t="shared" si="10"/>
        <v>0</v>
      </c>
      <c r="I37" s="675">
        <f t="shared" si="11"/>
        <v>0</v>
      </c>
      <c r="J37" s="675">
        <f t="shared" si="12"/>
        <v>0</v>
      </c>
      <c r="K37" s="675">
        <f t="shared" si="13"/>
        <v>0</v>
      </c>
      <c r="L37" s="675">
        <f t="shared" si="14"/>
        <v>0</v>
      </c>
      <c r="M37" s="667">
        <f t="shared" si="15"/>
        <v>0</v>
      </c>
      <c r="N37" s="152"/>
      <c r="O37" s="96"/>
      <c r="P37" s="801"/>
      <c r="Q37" s="71"/>
      <c r="R37" s="96"/>
      <c r="S37" s="97"/>
      <c r="T37" s="96"/>
      <c r="U37" s="782"/>
      <c r="V37" s="97"/>
      <c r="W37" s="97"/>
      <c r="X37" s="96"/>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row>
    <row r="38" spans="1:55" s="45" customFormat="1" x14ac:dyDescent="0.2">
      <c r="A38" s="796">
        <v>35</v>
      </c>
      <c r="B38" s="71"/>
      <c r="C38" s="71"/>
      <c r="D38" s="76"/>
      <c r="E38" s="35"/>
      <c r="F38" s="797">
        <f t="shared" si="8"/>
        <v>0</v>
      </c>
      <c r="G38" s="675">
        <f t="shared" si="9"/>
        <v>0</v>
      </c>
      <c r="H38" s="675">
        <f t="shared" si="10"/>
        <v>0</v>
      </c>
      <c r="I38" s="675">
        <f t="shared" si="11"/>
        <v>0</v>
      </c>
      <c r="J38" s="675">
        <f t="shared" si="12"/>
        <v>0</v>
      </c>
      <c r="K38" s="675">
        <f t="shared" si="13"/>
        <v>0</v>
      </c>
      <c r="L38" s="675">
        <f t="shared" si="14"/>
        <v>0</v>
      </c>
      <c r="M38" s="667">
        <f t="shared" si="15"/>
        <v>0</v>
      </c>
      <c r="N38" s="152"/>
      <c r="O38" s="96"/>
      <c r="P38" s="801"/>
      <c r="Q38" s="71"/>
      <c r="R38" s="96"/>
      <c r="S38" s="97"/>
      <c r="T38" s="96"/>
      <c r="U38" s="782"/>
      <c r="V38" s="97"/>
      <c r="W38" s="97"/>
      <c r="X38" s="96"/>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row>
    <row r="39" spans="1:55" s="45" customFormat="1" x14ac:dyDescent="0.2">
      <c r="A39" s="796">
        <v>36</v>
      </c>
      <c r="B39" s="71"/>
      <c r="C39" s="71"/>
      <c r="D39" s="76"/>
      <c r="E39" s="35"/>
      <c r="F39" s="797">
        <f t="shared" si="8"/>
        <v>0</v>
      </c>
      <c r="G39" s="675">
        <f t="shared" si="9"/>
        <v>0</v>
      </c>
      <c r="H39" s="675">
        <f t="shared" si="10"/>
        <v>0</v>
      </c>
      <c r="I39" s="675">
        <f t="shared" si="11"/>
        <v>0</v>
      </c>
      <c r="J39" s="675">
        <f t="shared" si="12"/>
        <v>0</v>
      </c>
      <c r="K39" s="675">
        <f t="shared" si="13"/>
        <v>0</v>
      </c>
      <c r="L39" s="675">
        <f t="shared" si="14"/>
        <v>0</v>
      </c>
      <c r="M39" s="667">
        <f t="shared" si="15"/>
        <v>0</v>
      </c>
      <c r="N39" s="152"/>
      <c r="O39" s="96"/>
      <c r="P39" s="801"/>
      <c r="Q39" s="71"/>
      <c r="R39" s="96"/>
      <c r="S39" s="97"/>
      <c r="T39" s="96"/>
      <c r="U39" s="782"/>
      <c r="V39" s="97"/>
      <c r="W39" s="97"/>
      <c r="X39" s="96"/>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row>
    <row r="40" spans="1:55" s="45" customFormat="1" x14ac:dyDescent="0.2">
      <c r="A40" s="796">
        <v>37</v>
      </c>
      <c r="B40" s="71"/>
      <c r="C40" s="71"/>
      <c r="D40" s="76"/>
      <c r="E40" s="35"/>
      <c r="F40" s="797">
        <f t="shared" si="8"/>
        <v>0</v>
      </c>
      <c r="G40" s="675">
        <f t="shared" si="9"/>
        <v>0</v>
      </c>
      <c r="H40" s="675">
        <f t="shared" si="10"/>
        <v>0</v>
      </c>
      <c r="I40" s="675">
        <f t="shared" si="11"/>
        <v>0</v>
      </c>
      <c r="J40" s="675">
        <f t="shared" si="12"/>
        <v>0</v>
      </c>
      <c r="K40" s="675">
        <f t="shared" si="13"/>
        <v>0</v>
      </c>
      <c r="L40" s="675">
        <f t="shared" si="14"/>
        <v>0</v>
      </c>
      <c r="M40" s="667">
        <f t="shared" si="15"/>
        <v>0</v>
      </c>
      <c r="N40" s="152"/>
      <c r="O40" s="96"/>
      <c r="P40" s="801"/>
      <c r="Q40" s="71"/>
      <c r="R40" s="96"/>
      <c r="S40" s="97"/>
      <c r="T40" s="96"/>
      <c r="U40" s="782"/>
      <c r="V40" s="97"/>
      <c r="W40" s="97"/>
      <c r="X40" s="96"/>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row>
    <row r="41" spans="1:55" s="45" customFormat="1" x14ac:dyDescent="0.2">
      <c r="A41" s="796">
        <v>38</v>
      </c>
      <c r="B41" s="71"/>
      <c r="C41" s="71"/>
      <c r="D41" s="76"/>
      <c r="E41" s="35"/>
      <c r="F41" s="797">
        <f t="shared" si="8"/>
        <v>0</v>
      </c>
      <c r="G41" s="675">
        <f t="shared" si="9"/>
        <v>0</v>
      </c>
      <c r="H41" s="675">
        <f t="shared" si="10"/>
        <v>0</v>
      </c>
      <c r="I41" s="675">
        <f t="shared" si="11"/>
        <v>0</v>
      </c>
      <c r="J41" s="675">
        <f t="shared" si="12"/>
        <v>0</v>
      </c>
      <c r="K41" s="675">
        <f t="shared" si="13"/>
        <v>0</v>
      </c>
      <c r="L41" s="675">
        <f t="shared" si="14"/>
        <v>0</v>
      </c>
      <c r="M41" s="667">
        <f t="shared" si="15"/>
        <v>0</v>
      </c>
      <c r="N41" s="152"/>
      <c r="O41" s="96"/>
      <c r="P41" s="801"/>
      <c r="Q41" s="71"/>
      <c r="R41" s="96"/>
      <c r="S41" s="97"/>
      <c r="T41" s="96"/>
      <c r="U41" s="782"/>
      <c r="V41" s="97"/>
      <c r="W41" s="97"/>
      <c r="X41" s="96"/>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row>
    <row r="42" spans="1:55" s="45" customFormat="1" x14ac:dyDescent="0.2">
      <c r="A42" s="796">
        <v>39</v>
      </c>
      <c r="B42" s="71"/>
      <c r="C42" s="71"/>
      <c r="D42" s="76"/>
      <c r="E42" s="35"/>
      <c r="F42" s="797">
        <f t="shared" si="8"/>
        <v>0</v>
      </c>
      <c r="G42" s="675">
        <f t="shared" si="9"/>
        <v>0</v>
      </c>
      <c r="H42" s="675">
        <f t="shared" si="10"/>
        <v>0</v>
      </c>
      <c r="I42" s="675">
        <f t="shared" si="11"/>
        <v>0</v>
      </c>
      <c r="J42" s="675">
        <f t="shared" si="12"/>
        <v>0</v>
      </c>
      <c r="K42" s="675">
        <f t="shared" si="13"/>
        <v>0</v>
      </c>
      <c r="L42" s="675">
        <f t="shared" si="14"/>
        <v>0</v>
      </c>
      <c r="M42" s="667">
        <f t="shared" si="15"/>
        <v>0</v>
      </c>
      <c r="N42" s="152"/>
      <c r="O42" s="96"/>
      <c r="P42" s="801"/>
      <c r="Q42" s="71"/>
      <c r="R42" s="96"/>
      <c r="S42" s="97"/>
      <c r="T42" s="96"/>
      <c r="U42" s="782"/>
      <c r="V42" s="97"/>
      <c r="W42" s="97"/>
      <c r="X42" s="96"/>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row>
    <row r="43" spans="1:55" s="45" customFormat="1" x14ac:dyDescent="0.2">
      <c r="A43" s="796">
        <v>40</v>
      </c>
      <c r="B43" s="71"/>
      <c r="C43" s="71"/>
      <c r="D43" s="76"/>
      <c r="E43" s="35"/>
      <c r="F43" s="797">
        <f t="shared" si="8"/>
        <v>0</v>
      </c>
      <c r="G43" s="675">
        <f t="shared" si="9"/>
        <v>0</v>
      </c>
      <c r="H43" s="675">
        <f t="shared" si="10"/>
        <v>0</v>
      </c>
      <c r="I43" s="675">
        <f t="shared" si="11"/>
        <v>0</v>
      </c>
      <c r="J43" s="675">
        <f t="shared" si="12"/>
        <v>0</v>
      </c>
      <c r="K43" s="675">
        <f t="shared" si="13"/>
        <v>0</v>
      </c>
      <c r="L43" s="675">
        <f t="shared" si="14"/>
        <v>0</v>
      </c>
      <c r="M43" s="667">
        <f t="shared" si="15"/>
        <v>0</v>
      </c>
      <c r="N43" s="152"/>
      <c r="O43" s="96"/>
      <c r="P43" s="801"/>
      <c r="Q43" s="71"/>
      <c r="R43" s="96"/>
      <c r="S43" s="97"/>
      <c r="T43" s="96"/>
      <c r="U43" s="782"/>
      <c r="V43" s="97"/>
      <c r="W43" s="97"/>
      <c r="X43" s="96"/>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row>
    <row r="44" spans="1:55" s="45" customFormat="1" x14ac:dyDescent="0.2">
      <c r="A44" s="796">
        <v>41</v>
      </c>
      <c r="B44" s="71"/>
      <c r="C44" s="71"/>
      <c r="D44" s="76"/>
      <c r="E44" s="35"/>
      <c r="F44" s="797">
        <f t="shared" si="8"/>
        <v>0</v>
      </c>
      <c r="G44" s="675">
        <f t="shared" si="9"/>
        <v>0</v>
      </c>
      <c r="H44" s="675">
        <f t="shared" si="10"/>
        <v>0</v>
      </c>
      <c r="I44" s="675">
        <f t="shared" si="11"/>
        <v>0</v>
      </c>
      <c r="J44" s="675">
        <f t="shared" si="12"/>
        <v>0</v>
      </c>
      <c r="K44" s="675">
        <f t="shared" si="13"/>
        <v>0</v>
      </c>
      <c r="L44" s="675">
        <f t="shared" si="14"/>
        <v>0</v>
      </c>
      <c r="M44" s="667">
        <f t="shared" si="15"/>
        <v>0</v>
      </c>
      <c r="N44" s="152"/>
      <c r="O44" s="96"/>
      <c r="P44" s="801"/>
      <c r="Q44" s="71"/>
      <c r="R44" s="96"/>
      <c r="S44" s="97"/>
      <c r="T44" s="96"/>
      <c r="U44" s="782"/>
      <c r="V44" s="97"/>
      <c r="W44" s="97"/>
      <c r="X44" s="96"/>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row>
    <row r="45" spans="1:55" s="45" customFormat="1" x14ac:dyDescent="0.2">
      <c r="A45" s="796">
        <v>42</v>
      </c>
      <c r="B45" s="71"/>
      <c r="C45" s="71"/>
      <c r="D45" s="76"/>
      <c r="E45" s="35"/>
      <c r="F45" s="797">
        <f t="shared" si="8"/>
        <v>0</v>
      </c>
      <c r="G45" s="675">
        <f t="shared" si="9"/>
        <v>0</v>
      </c>
      <c r="H45" s="675">
        <f t="shared" si="10"/>
        <v>0</v>
      </c>
      <c r="I45" s="675">
        <f t="shared" si="11"/>
        <v>0</v>
      </c>
      <c r="J45" s="675">
        <f t="shared" si="12"/>
        <v>0</v>
      </c>
      <c r="K45" s="675">
        <f t="shared" si="13"/>
        <v>0</v>
      </c>
      <c r="L45" s="675">
        <f t="shared" si="14"/>
        <v>0</v>
      </c>
      <c r="M45" s="667">
        <f t="shared" si="15"/>
        <v>0</v>
      </c>
      <c r="N45" s="152"/>
      <c r="O45" s="96"/>
      <c r="P45" s="801"/>
      <c r="Q45" s="71"/>
      <c r="R45" s="96"/>
      <c r="S45" s="97"/>
      <c r="T45" s="96"/>
      <c r="U45" s="782"/>
      <c r="V45" s="97"/>
      <c r="W45" s="97"/>
      <c r="X45" s="96"/>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row>
    <row r="46" spans="1:55" s="45" customFormat="1" x14ac:dyDescent="0.2">
      <c r="A46" s="796">
        <v>43</v>
      </c>
      <c r="B46" s="71"/>
      <c r="C46" s="71"/>
      <c r="D46" s="76"/>
      <c r="E46" s="35"/>
      <c r="F46" s="797">
        <f t="shared" si="8"/>
        <v>0</v>
      </c>
      <c r="G46" s="675">
        <f t="shared" si="9"/>
        <v>0</v>
      </c>
      <c r="H46" s="675">
        <f t="shared" si="10"/>
        <v>0</v>
      </c>
      <c r="I46" s="675">
        <f t="shared" si="11"/>
        <v>0</v>
      </c>
      <c r="J46" s="675">
        <f t="shared" si="12"/>
        <v>0</v>
      </c>
      <c r="K46" s="675">
        <f t="shared" si="13"/>
        <v>0</v>
      </c>
      <c r="L46" s="675">
        <f t="shared" si="14"/>
        <v>0</v>
      </c>
      <c r="M46" s="667">
        <f t="shared" si="15"/>
        <v>0</v>
      </c>
      <c r="N46" s="152"/>
      <c r="O46" s="96"/>
      <c r="P46" s="801"/>
      <c r="Q46" s="71"/>
      <c r="R46" s="96"/>
      <c r="S46" s="97"/>
      <c r="T46" s="96"/>
      <c r="U46" s="782"/>
      <c r="V46" s="97"/>
      <c r="W46" s="97"/>
      <c r="X46" s="96"/>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row>
    <row r="47" spans="1:55" s="45" customFormat="1" x14ac:dyDescent="0.2">
      <c r="A47" s="796">
        <v>44</v>
      </c>
      <c r="B47" s="71"/>
      <c r="C47" s="71"/>
      <c r="D47" s="76"/>
      <c r="E47" s="35"/>
      <c r="F47" s="797">
        <f t="shared" si="8"/>
        <v>0</v>
      </c>
      <c r="G47" s="675">
        <f t="shared" si="9"/>
        <v>0</v>
      </c>
      <c r="H47" s="675">
        <f t="shared" si="10"/>
        <v>0</v>
      </c>
      <c r="I47" s="675">
        <f t="shared" si="11"/>
        <v>0</v>
      </c>
      <c r="J47" s="675">
        <f t="shared" si="12"/>
        <v>0</v>
      </c>
      <c r="K47" s="675">
        <f t="shared" si="13"/>
        <v>0</v>
      </c>
      <c r="L47" s="675">
        <f t="shared" si="14"/>
        <v>0</v>
      </c>
      <c r="M47" s="667">
        <f t="shared" si="15"/>
        <v>0</v>
      </c>
      <c r="N47" s="152"/>
      <c r="O47" s="96"/>
      <c r="P47" s="801"/>
      <c r="Q47" s="71"/>
      <c r="R47" s="96"/>
      <c r="S47" s="97"/>
      <c r="T47" s="96"/>
      <c r="U47" s="782"/>
      <c r="V47" s="97"/>
      <c r="W47" s="97"/>
      <c r="X47" s="96"/>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2"/>
      <c r="AY47" s="782"/>
      <c r="AZ47" s="782"/>
      <c r="BA47" s="782"/>
      <c r="BB47" s="782"/>
      <c r="BC47" s="782"/>
    </row>
    <row r="48" spans="1:55" s="45" customFormat="1" x14ac:dyDescent="0.2">
      <c r="A48" s="796">
        <v>45</v>
      </c>
      <c r="B48" s="71"/>
      <c r="C48" s="71"/>
      <c r="D48" s="76"/>
      <c r="E48" s="35"/>
      <c r="F48" s="797">
        <f t="shared" si="8"/>
        <v>0</v>
      </c>
      <c r="G48" s="675">
        <f t="shared" si="9"/>
        <v>0</v>
      </c>
      <c r="H48" s="675">
        <f t="shared" si="10"/>
        <v>0</v>
      </c>
      <c r="I48" s="675">
        <f t="shared" si="11"/>
        <v>0</v>
      </c>
      <c r="J48" s="675">
        <f t="shared" si="12"/>
        <v>0</v>
      </c>
      <c r="K48" s="675">
        <f t="shared" si="13"/>
        <v>0</v>
      </c>
      <c r="L48" s="675">
        <f t="shared" si="14"/>
        <v>0</v>
      </c>
      <c r="M48" s="667">
        <f t="shared" si="15"/>
        <v>0</v>
      </c>
      <c r="N48" s="152"/>
      <c r="O48" s="96"/>
      <c r="P48" s="801"/>
      <c r="Q48" s="71"/>
      <c r="R48" s="96"/>
      <c r="S48" s="97"/>
      <c r="T48" s="96"/>
      <c r="U48" s="782"/>
      <c r="V48" s="97"/>
      <c r="W48" s="97"/>
      <c r="X48" s="96"/>
      <c r="Y48" s="782"/>
      <c r="Z48" s="782"/>
      <c r="AA48" s="782"/>
      <c r="AB48" s="782"/>
      <c r="AC48" s="782"/>
      <c r="AD48" s="782"/>
      <c r="AE48" s="782"/>
      <c r="AF48" s="782"/>
      <c r="AG48" s="782"/>
      <c r="AH48" s="782"/>
      <c r="AI48" s="782"/>
      <c r="AJ48" s="782"/>
      <c r="AK48" s="782"/>
      <c r="AL48" s="782"/>
      <c r="AM48" s="782"/>
      <c r="AN48" s="782"/>
      <c r="AO48" s="782"/>
      <c r="AP48" s="782"/>
      <c r="AQ48" s="782"/>
      <c r="AR48" s="782"/>
      <c r="AS48" s="782"/>
      <c r="AT48" s="782"/>
      <c r="AU48" s="782"/>
      <c r="AV48" s="782"/>
      <c r="AW48" s="782"/>
      <c r="AX48" s="782"/>
      <c r="AY48" s="782"/>
      <c r="AZ48" s="782"/>
      <c r="BA48" s="782"/>
      <c r="BB48" s="782"/>
      <c r="BC48" s="782"/>
    </row>
    <row r="49" spans="1:55" s="45" customFormat="1" x14ac:dyDescent="0.2">
      <c r="A49" s="796">
        <v>46</v>
      </c>
      <c r="B49" s="71"/>
      <c r="C49" s="71"/>
      <c r="D49" s="76"/>
      <c r="E49" s="35"/>
      <c r="F49" s="797">
        <f t="shared" si="8"/>
        <v>0</v>
      </c>
      <c r="G49" s="675">
        <f t="shared" si="9"/>
        <v>0</v>
      </c>
      <c r="H49" s="675">
        <f t="shared" si="10"/>
        <v>0</v>
      </c>
      <c r="I49" s="675">
        <f t="shared" si="11"/>
        <v>0</v>
      </c>
      <c r="J49" s="675">
        <f t="shared" si="12"/>
        <v>0</v>
      </c>
      <c r="K49" s="675">
        <f t="shared" si="13"/>
        <v>0</v>
      </c>
      <c r="L49" s="675">
        <f t="shared" si="14"/>
        <v>0</v>
      </c>
      <c r="M49" s="667">
        <f t="shared" si="15"/>
        <v>0</v>
      </c>
      <c r="N49" s="152"/>
      <c r="O49" s="96"/>
      <c r="P49" s="801"/>
      <c r="Q49" s="71"/>
      <c r="R49" s="96"/>
      <c r="S49" s="97"/>
      <c r="T49" s="96"/>
      <c r="U49" s="782"/>
      <c r="V49" s="97"/>
      <c r="W49" s="97"/>
      <c r="X49" s="96"/>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row>
    <row r="50" spans="1:55" s="45" customFormat="1" x14ac:dyDescent="0.2">
      <c r="A50" s="796">
        <v>47</v>
      </c>
      <c r="B50" s="71"/>
      <c r="C50" s="71"/>
      <c r="D50" s="76"/>
      <c r="E50" s="35"/>
      <c r="F50" s="797">
        <f t="shared" si="0"/>
        <v>0</v>
      </c>
      <c r="G50" s="675">
        <f t="shared" si="1"/>
        <v>0</v>
      </c>
      <c r="H50" s="675">
        <f t="shared" si="2"/>
        <v>0</v>
      </c>
      <c r="I50" s="675">
        <f t="shared" si="3"/>
        <v>0</v>
      </c>
      <c r="J50" s="675">
        <f t="shared" si="4"/>
        <v>0</v>
      </c>
      <c r="K50" s="675">
        <f t="shared" si="5"/>
        <v>0</v>
      </c>
      <c r="L50" s="675">
        <f t="shared" si="6"/>
        <v>0</v>
      </c>
      <c r="M50" s="667">
        <f t="shared" si="7"/>
        <v>0</v>
      </c>
      <c r="N50" s="152"/>
      <c r="O50" s="96"/>
      <c r="P50" s="801"/>
      <c r="Q50" s="71"/>
      <c r="R50" s="96"/>
      <c r="S50" s="97"/>
      <c r="T50" s="96"/>
      <c r="U50" s="782"/>
      <c r="V50" s="97"/>
      <c r="W50" s="97"/>
      <c r="X50" s="96"/>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782"/>
      <c r="AU50" s="782"/>
      <c r="AV50" s="782"/>
      <c r="AW50" s="782"/>
      <c r="AX50" s="782"/>
      <c r="AY50" s="782"/>
      <c r="AZ50" s="782"/>
      <c r="BA50" s="782"/>
      <c r="BB50" s="782"/>
      <c r="BC50" s="782"/>
    </row>
    <row r="51" spans="1:55" s="45" customFormat="1" x14ac:dyDescent="0.2">
      <c r="A51" s="796">
        <v>48</v>
      </c>
      <c r="B51" s="71"/>
      <c r="C51" s="71"/>
      <c r="D51" s="76"/>
      <c r="E51" s="35"/>
      <c r="F51" s="797">
        <f t="shared" si="0"/>
        <v>0</v>
      </c>
      <c r="G51" s="675">
        <f t="shared" si="1"/>
        <v>0</v>
      </c>
      <c r="H51" s="675">
        <f t="shared" si="2"/>
        <v>0</v>
      </c>
      <c r="I51" s="675">
        <f t="shared" si="3"/>
        <v>0</v>
      </c>
      <c r="J51" s="675">
        <f t="shared" si="4"/>
        <v>0</v>
      </c>
      <c r="K51" s="675">
        <f t="shared" si="5"/>
        <v>0</v>
      </c>
      <c r="L51" s="675">
        <f t="shared" si="6"/>
        <v>0</v>
      </c>
      <c r="M51" s="667">
        <f t="shared" si="7"/>
        <v>0</v>
      </c>
      <c r="N51" s="152"/>
      <c r="O51" s="96"/>
      <c r="P51" s="801"/>
      <c r="Q51" s="71"/>
      <c r="R51" s="96"/>
      <c r="S51" s="97"/>
      <c r="T51" s="96"/>
      <c r="U51" s="782"/>
      <c r="V51" s="97"/>
      <c r="W51" s="97"/>
      <c r="X51" s="96"/>
      <c r="Y51" s="782"/>
      <c r="Z51" s="782"/>
      <c r="AA51" s="782"/>
      <c r="AB51" s="782"/>
      <c r="AC51" s="782"/>
      <c r="AD51" s="782"/>
      <c r="AE51" s="782"/>
      <c r="AF51" s="782"/>
      <c r="AG51" s="782"/>
      <c r="AH51" s="782"/>
      <c r="AI51" s="782"/>
      <c r="AJ51" s="782"/>
      <c r="AK51" s="782"/>
      <c r="AL51" s="782"/>
      <c r="AM51" s="782"/>
      <c r="AN51" s="782"/>
      <c r="AO51" s="782"/>
      <c r="AP51" s="782"/>
      <c r="AQ51" s="782"/>
      <c r="AR51" s="782"/>
      <c r="AS51" s="782"/>
      <c r="AT51" s="782"/>
      <c r="AU51" s="782"/>
      <c r="AV51" s="782"/>
      <c r="AW51" s="782"/>
      <c r="AX51" s="782"/>
      <c r="AY51" s="782"/>
      <c r="AZ51" s="782"/>
      <c r="BA51" s="782"/>
      <c r="BB51" s="782"/>
      <c r="BC51" s="782"/>
    </row>
    <row r="52" spans="1:55" s="45" customFormat="1" x14ac:dyDescent="0.2">
      <c r="A52" s="796">
        <v>49</v>
      </c>
      <c r="B52" s="71"/>
      <c r="C52" s="71"/>
      <c r="D52" s="76"/>
      <c r="E52" s="35"/>
      <c r="F52" s="797">
        <f t="shared" si="0"/>
        <v>0</v>
      </c>
      <c r="G52" s="675">
        <f t="shared" si="1"/>
        <v>0</v>
      </c>
      <c r="H52" s="675">
        <f t="shared" si="2"/>
        <v>0</v>
      </c>
      <c r="I52" s="675">
        <f t="shared" si="3"/>
        <v>0</v>
      </c>
      <c r="J52" s="675">
        <f t="shared" si="4"/>
        <v>0</v>
      </c>
      <c r="K52" s="675">
        <f t="shared" si="5"/>
        <v>0</v>
      </c>
      <c r="L52" s="675">
        <f t="shared" si="6"/>
        <v>0</v>
      </c>
      <c r="M52" s="667">
        <f t="shared" si="7"/>
        <v>0</v>
      </c>
      <c r="N52" s="152"/>
      <c r="O52" s="96"/>
      <c r="P52" s="801"/>
      <c r="Q52" s="71"/>
      <c r="R52" s="96"/>
      <c r="S52" s="97"/>
      <c r="T52" s="96"/>
      <c r="U52" s="782"/>
      <c r="V52" s="97"/>
      <c r="W52" s="97"/>
      <c r="X52" s="96"/>
      <c r="Y52" s="782"/>
      <c r="Z52" s="782"/>
      <c r="AA52" s="782"/>
      <c r="AB52" s="782"/>
      <c r="AC52" s="782"/>
      <c r="AD52" s="782"/>
      <c r="AE52" s="782"/>
      <c r="AF52" s="782"/>
      <c r="AG52" s="782"/>
      <c r="AH52" s="782"/>
      <c r="AI52" s="782"/>
      <c r="AJ52" s="782"/>
      <c r="AK52" s="782"/>
      <c r="AL52" s="782"/>
      <c r="AM52" s="782"/>
      <c r="AN52" s="782"/>
      <c r="AO52" s="782"/>
      <c r="AP52" s="782"/>
      <c r="AQ52" s="782"/>
      <c r="AR52" s="782"/>
      <c r="AS52" s="782"/>
      <c r="AT52" s="782"/>
      <c r="AU52" s="782"/>
      <c r="AV52" s="782"/>
      <c r="AW52" s="782"/>
      <c r="AX52" s="782"/>
      <c r="AY52" s="782"/>
      <c r="AZ52" s="782"/>
      <c r="BA52" s="782"/>
      <c r="BB52" s="782"/>
      <c r="BC52" s="782"/>
    </row>
    <row r="53" spans="1:55" s="45" customFormat="1" x14ac:dyDescent="0.2">
      <c r="A53" s="796">
        <v>50</v>
      </c>
      <c r="B53" s="71"/>
      <c r="C53" s="71"/>
      <c r="D53" s="76"/>
      <c r="E53" s="35"/>
      <c r="F53" s="797">
        <f t="shared" si="0"/>
        <v>0</v>
      </c>
      <c r="G53" s="675">
        <f t="shared" si="1"/>
        <v>0</v>
      </c>
      <c r="H53" s="675">
        <f t="shared" si="2"/>
        <v>0</v>
      </c>
      <c r="I53" s="675">
        <f t="shared" si="3"/>
        <v>0</v>
      </c>
      <c r="J53" s="675">
        <f t="shared" si="4"/>
        <v>0</v>
      </c>
      <c r="K53" s="675">
        <f t="shared" si="5"/>
        <v>0</v>
      </c>
      <c r="L53" s="675">
        <f t="shared" si="6"/>
        <v>0</v>
      </c>
      <c r="M53" s="667">
        <f t="shared" si="7"/>
        <v>0</v>
      </c>
      <c r="N53" s="152"/>
      <c r="O53" s="96"/>
      <c r="P53" s="801"/>
      <c r="Q53" s="71"/>
      <c r="R53" s="96"/>
      <c r="S53" s="97"/>
      <c r="T53" s="96"/>
      <c r="U53" s="782"/>
      <c r="V53" s="97"/>
      <c r="W53" s="97"/>
      <c r="X53" s="96"/>
      <c r="Y53" s="782"/>
      <c r="Z53" s="782"/>
      <c r="AA53" s="782"/>
      <c r="AB53" s="782"/>
      <c r="AC53" s="782"/>
      <c r="AD53" s="782"/>
      <c r="AE53" s="782"/>
      <c r="AF53" s="782"/>
      <c r="AG53" s="782"/>
      <c r="AH53" s="782"/>
      <c r="AI53" s="782"/>
      <c r="AJ53" s="782"/>
      <c r="AK53" s="782"/>
      <c r="AL53" s="782"/>
      <c r="AM53" s="782"/>
      <c r="AN53" s="782"/>
      <c r="AO53" s="782"/>
      <c r="AP53" s="782"/>
      <c r="AQ53" s="782"/>
      <c r="AR53" s="782"/>
      <c r="AS53" s="782"/>
      <c r="AT53" s="782"/>
      <c r="AU53" s="782"/>
      <c r="AV53" s="782"/>
      <c r="AW53" s="782"/>
      <c r="AX53" s="782"/>
      <c r="AY53" s="782"/>
      <c r="AZ53" s="782"/>
      <c r="BA53" s="782"/>
      <c r="BB53" s="782"/>
      <c r="BC53" s="782"/>
    </row>
    <row r="54" spans="1:55" s="45" customFormat="1" x14ac:dyDescent="0.2">
      <c r="A54" s="799"/>
      <c r="B54" s="799"/>
      <c r="C54" s="799"/>
      <c r="D54" s="800"/>
      <c r="E54" s="801"/>
      <c r="F54" s="80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2"/>
      <c r="AN54" s="782"/>
      <c r="AO54" s="782"/>
      <c r="AP54" s="782"/>
      <c r="AQ54" s="782"/>
      <c r="AR54" s="782"/>
      <c r="AS54" s="782"/>
      <c r="AT54" s="782"/>
      <c r="AU54" s="782"/>
      <c r="AV54" s="782"/>
      <c r="AW54" s="782"/>
      <c r="AX54" s="782"/>
      <c r="AY54" s="782"/>
      <c r="AZ54" s="782"/>
      <c r="BA54" s="782"/>
      <c r="BB54" s="782"/>
      <c r="BC54" s="782"/>
    </row>
    <row r="55" spans="1:55" s="45" customFormat="1" x14ac:dyDescent="0.2">
      <c r="A55" s="83"/>
      <c r="B55" s="901" t="str">
        <f>IF(Stammblatt!L4=1,"Σ Darsteller","TOTAL Cast")</f>
        <v>Σ Darsteller</v>
      </c>
      <c r="C55" s="83"/>
      <c r="D55" s="70">
        <f>SUM(D4:D54)</f>
        <v>0</v>
      </c>
      <c r="E55" s="83"/>
      <c r="F55" s="901">
        <f>SUM(F4:F54)</f>
        <v>0</v>
      </c>
      <c r="G55" s="901">
        <f>SUM(G4:G54)</f>
        <v>0</v>
      </c>
      <c r="H55" s="901">
        <f t="shared" ref="H55:M55" si="16">SUM(H4:H54)</f>
        <v>0</v>
      </c>
      <c r="I55" s="901">
        <f t="shared" si="16"/>
        <v>0</v>
      </c>
      <c r="J55" s="901">
        <f t="shared" si="16"/>
        <v>0</v>
      </c>
      <c r="K55" s="901">
        <f t="shared" si="16"/>
        <v>0</v>
      </c>
      <c r="L55" s="901">
        <f t="shared" si="16"/>
        <v>0</v>
      </c>
      <c r="M55" s="901">
        <f t="shared" si="16"/>
        <v>0</v>
      </c>
      <c r="N55" s="782"/>
      <c r="O55" s="901">
        <f t="shared" ref="O55" si="17">SUM(O4:O54)</f>
        <v>0</v>
      </c>
      <c r="P55" s="782"/>
      <c r="Q55" s="782"/>
      <c r="R55" s="901">
        <f t="shared" ref="R55:T55" si="18">SUM(R4:R54)</f>
        <v>0</v>
      </c>
      <c r="S55" s="901">
        <f t="shared" si="18"/>
        <v>0</v>
      </c>
      <c r="T55" s="901">
        <f t="shared" si="18"/>
        <v>0</v>
      </c>
      <c r="U55" s="782"/>
      <c r="V55" s="901">
        <f t="shared" ref="V55" si="19">SUM(V4:V54)</f>
        <v>0</v>
      </c>
      <c r="W55" s="901">
        <f t="shared" ref="W55" si="20">SUM(W4:W54)</f>
        <v>0</v>
      </c>
      <c r="X55" s="901">
        <f t="shared" ref="X55" si="21">SUM(X4:X54)</f>
        <v>0</v>
      </c>
      <c r="Y55" s="782"/>
      <c r="Z55" s="782"/>
      <c r="AA55" s="782"/>
      <c r="AB55" s="782"/>
      <c r="AC55" s="782"/>
      <c r="AD55" s="782"/>
      <c r="AE55" s="782"/>
      <c r="AF55" s="782"/>
      <c r="AG55" s="782"/>
      <c r="AH55" s="782"/>
      <c r="AI55" s="782"/>
      <c r="AJ55" s="782"/>
      <c r="AK55" s="782"/>
      <c r="AL55" s="782"/>
      <c r="AM55" s="782"/>
      <c r="AN55" s="782"/>
      <c r="AO55" s="782"/>
      <c r="AP55" s="782"/>
      <c r="AQ55" s="782"/>
      <c r="AR55" s="782"/>
      <c r="AS55" s="782"/>
      <c r="AT55" s="782"/>
      <c r="AU55" s="782"/>
      <c r="AV55" s="782"/>
      <c r="AW55" s="782"/>
      <c r="AX55" s="782"/>
      <c r="AY55" s="782"/>
      <c r="AZ55" s="782"/>
      <c r="BA55" s="782"/>
      <c r="BB55" s="782"/>
      <c r="BC55" s="782"/>
    </row>
    <row r="56" spans="1:55" s="45" customFormat="1" x14ac:dyDescent="0.2">
      <c r="A56" s="782"/>
      <c r="B56" s="782"/>
      <c r="C56" s="782"/>
      <c r="D56" s="800"/>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2"/>
      <c r="AV56" s="782"/>
      <c r="AW56" s="782"/>
      <c r="AX56" s="782"/>
      <c r="AY56" s="782"/>
      <c r="AZ56" s="782"/>
      <c r="BA56" s="782"/>
      <c r="BB56" s="782"/>
      <c r="BC56" s="782"/>
    </row>
    <row r="57" spans="1:55" s="45" customFormat="1" x14ac:dyDescent="0.2">
      <c r="A57" s="782"/>
      <c r="B57" s="782"/>
      <c r="C57" s="782"/>
      <c r="D57" s="800"/>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row>
    <row r="58" spans="1:55" s="45" customFormat="1" x14ac:dyDescent="0.2">
      <c r="A58" s="782"/>
      <c r="B58" s="782"/>
      <c r="C58" s="782"/>
      <c r="D58" s="806" t="s">
        <v>44</v>
      </c>
      <c r="E58" s="790" t="s">
        <v>212</v>
      </c>
      <c r="F58" s="790" t="s">
        <v>202</v>
      </c>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2"/>
    </row>
    <row r="59" spans="1:55" s="45" customFormat="1" x14ac:dyDescent="0.2">
      <c r="A59" s="803"/>
      <c r="B59" s="804" t="str">
        <f>IF(Stammblatt!$L$4=1,"Kleindarsteller","Background actors")</f>
        <v>Kleindarsteller</v>
      </c>
      <c r="C59" s="805"/>
      <c r="D59" s="77"/>
      <c r="E59" s="71"/>
      <c r="F59" s="807">
        <f>D59*E59</f>
        <v>0</v>
      </c>
      <c r="G59" s="782"/>
      <c r="H59" s="782"/>
      <c r="I59" s="782"/>
      <c r="J59" s="782"/>
      <c r="K59" s="782"/>
      <c r="L59" s="782"/>
      <c r="M59" s="782"/>
      <c r="N59" s="782"/>
      <c r="O59" s="96"/>
      <c r="P59" s="801"/>
      <c r="Q59" s="35"/>
      <c r="R59" s="35"/>
      <c r="S59" s="35"/>
      <c r="T59" s="35"/>
      <c r="U59" s="782"/>
      <c r="V59" s="35"/>
      <c r="W59" s="35"/>
      <c r="X59" s="35"/>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2"/>
    </row>
    <row r="60" spans="1:55" s="45" customFormat="1" x14ac:dyDescent="0.2">
      <c r="A60" s="803"/>
      <c r="B60" s="804" t="str">
        <f>IF(Stammblatt!$L$4=1,"Komparsen","Extras")</f>
        <v>Komparsen</v>
      </c>
      <c r="C60" s="805"/>
      <c r="D60" s="77"/>
      <c r="E60" s="37"/>
      <c r="F60" s="807">
        <f>D60*E60</f>
        <v>0</v>
      </c>
      <c r="G60" s="782"/>
      <c r="H60" s="782"/>
      <c r="I60" s="782"/>
      <c r="J60" s="782"/>
      <c r="K60" s="782"/>
      <c r="L60" s="782"/>
      <c r="M60" s="782"/>
      <c r="N60" s="782"/>
      <c r="O60" s="96"/>
      <c r="P60" s="801"/>
      <c r="Q60" s="35"/>
      <c r="R60" s="35"/>
      <c r="S60" s="35"/>
      <c r="T60" s="35"/>
      <c r="U60" s="782"/>
      <c r="V60" s="35"/>
      <c r="W60" s="35"/>
      <c r="X60" s="35"/>
      <c r="Y60" s="782"/>
      <c r="Z60" s="782"/>
      <c r="AA60" s="782"/>
      <c r="AB60" s="782"/>
      <c r="AC60" s="782"/>
      <c r="AD60" s="782"/>
      <c r="AE60" s="782"/>
      <c r="AF60" s="782"/>
      <c r="AG60" s="782"/>
      <c r="AH60" s="782"/>
      <c r="AI60" s="782"/>
      <c r="AJ60" s="782"/>
      <c r="AK60" s="782"/>
      <c r="AL60" s="782"/>
      <c r="AM60" s="782"/>
      <c r="AN60" s="782"/>
      <c r="AO60" s="782"/>
      <c r="AP60" s="782"/>
      <c r="AQ60" s="782"/>
      <c r="AR60" s="782"/>
      <c r="AS60" s="782"/>
      <c r="AT60" s="782"/>
      <c r="AU60" s="782"/>
      <c r="AV60" s="782"/>
      <c r="AW60" s="782"/>
      <c r="AX60" s="782"/>
      <c r="AY60" s="782"/>
      <c r="AZ60" s="782"/>
      <c r="BA60" s="782"/>
      <c r="BB60" s="782"/>
      <c r="BC60" s="782"/>
    </row>
    <row r="61" spans="1:55" s="45" customFormat="1" x14ac:dyDescent="0.2">
      <c r="A61" s="782"/>
      <c r="B61" s="782"/>
      <c r="C61" s="782"/>
      <c r="D61" s="800"/>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2"/>
      <c r="AQ61" s="782"/>
      <c r="AR61" s="782"/>
      <c r="AS61" s="782"/>
      <c r="AT61" s="782"/>
      <c r="AU61" s="782"/>
      <c r="AV61" s="782"/>
      <c r="AW61" s="782"/>
      <c r="AX61" s="782"/>
      <c r="AY61" s="782"/>
      <c r="AZ61" s="782"/>
      <c r="BA61" s="782"/>
      <c r="BB61" s="782"/>
      <c r="BC61" s="782"/>
    </row>
    <row r="62" spans="1:55" s="45" customFormat="1" x14ac:dyDescent="0.2">
      <c r="A62" s="83"/>
      <c r="B62" s="901" t="str">
        <f>IF(Stammblatt!L4=1,"Σ-Statisten","TOTAL Extras")</f>
        <v>Σ-Statisten</v>
      </c>
      <c r="C62" s="83"/>
      <c r="D62" s="70">
        <f>SUM(D59:D61)</f>
        <v>0</v>
      </c>
      <c r="E62" s="83"/>
      <c r="F62" s="83">
        <f>SUM(F59:F61)</f>
        <v>0</v>
      </c>
      <c r="G62" s="782"/>
      <c r="H62" s="782"/>
      <c r="I62" s="782"/>
      <c r="J62" s="782"/>
      <c r="K62" s="782"/>
      <c r="L62" s="782"/>
      <c r="M62" s="782"/>
      <c r="N62" s="66" t="s">
        <v>229</v>
      </c>
      <c r="O62" s="901">
        <f>SUM(O59:O61)</f>
        <v>0</v>
      </c>
      <c r="P62" s="782"/>
      <c r="Q62" s="901">
        <f t="shared" ref="Q62" si="22">SUM(Q4:Q61)</f>
        <v>0</v>
      </c>
      <c r="R62" s="901">
        <f>SUM(R59:R61)</f>
        <v>0</v>
      </c>
      <c r="S62" s="901">
        <f>SUM(S59:S61)</f>
        <v>0</v>
      </c>
      <c r="T62" s="901">
        <f>SUM(T59:T61)</f>
        <v>0</v>
      </c>
      <c r="U62" s="782"/>
      <c r="V62" s="901">
        <f>SUM(V59:V61)</f>
        <v>0</v>
      </c>
      <c r="W62" s="901">
        <f t="shared" ref="W62:X62" si="23">SUM(W59:W61)</f>
        <v>0</v>
      </c>
      <c r="X62" s="901">
        <f t="shared" si="23"/>
        <v>0</v>
      </c>
      <c r="Y62" s="782"/>
      <c r="Z62" s="782"/>
      <c r="AA62" s="782"/>
      <c r="AB62" s="782"/>
      <c r="AC62" s="782"/>
      <c r="AD62" s="782"/>
      <c r="AE62" s="782"/>
      <c r="AF62" s="782"/>
      <c r="AG62" s="782"/>
      <c r="AH62" s="782"/>
      <c r="AI62" s="782"/>
      <c r="AJ62" s="782"/>
      <c r="AK62" s="782"/>
      <c r="AL62" s="782"/>
      <c r="AM62" s="782"/>
      <c r="AN62" s="782"/>
      <c r="AO62" s="782"/>
      <c r="AP62" s="782"/>
      <c r="AQ62" s="782"/>
      <c r="AR62" s="782"/>
      <c r="AS62" s="782"/>
      <c r="AT62" s="782"/>
      <c r="AU62" s="782"/>
      <c r="AV62" s="782"/>
      <c r="AW62" s="782"/>
      <c r="AX62" s="782"/>
      <c r="AY62" s="782"/>
      <c r="AZ62" s="782"/>
      <c r="BA62" s="782"/>
      <c r="BB62" s="782"/>
      <c r="BC62" s="782"/>
    </row>
    <row r="63" spans="1:55" s="45" customFormat="1" x14ac:dyDescent="0.2">
      <c r="A63" s="782"/>
      <c r="B63" s="782"/>
      <c r="C63" s="782"/>
      <c r="D63" s="782"/>
      <c r="E63" s="782"/>
      <c r="F63" s="782"/>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c r="AK63" s="782"/>
      <c r="AL63" s="782"/>
      <c r="AM63" s="782"/>
      <c r="AN63" s="782"/>
      <c r="AO63" s="782"/>
      <c r="AP63" s="782"/>
      <c r="AQ63" s="782"/>
      <c r="AR63" s="782"/>
      <c r="AS63" s="782"/>
      <c r="AT63" s="782"/>
      <c r="AU63" s="782"/>
      <c r="AV63" s="782"/>
      <c r="AW63" s="782"/>
      <c r="AX63" s="782"/>
      <c r="AY63" s="782"/>
      <c r="AZ63" s="782"/>
      <c r="BA63" s="782"/>
      <c r="BB63" s="782"/>
      <c r="BC63" s="782"/>
    </row>
    <row r="64" spans="1:55" s="45" customFormat="1" x14ac:dyDescent="0.2">
      <c r="A64" s="782"/>
      <c r="B64" s="782"/>
      <c r="C64" s="782"/>
      <c r="D64" s="782"/>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782"/>
      <c r="AT64" s="782"/>
      <c r="AU64" s="782"/>
      <c r="AV64" s="782"/>
      <c r="AW64" s="782"/>
      <c r="AX64" s="782"/>
      <c r="AY64" s="782"/>
      <c r="AZ64" s="782"/>
      <c r="BA64" s="782"/>
      <c r="BB64" s="782"/>
      <c r="BC64" s="782"/>
    </row>
    <row r="65" spans="1:55" s="45" customFormat="1" x14ac:dyDescent="0.2">
      <c r="A65" s="782"/>
      <c r="B65" s="782"/>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c r="AK65" s="782"/>
      <c r="AL65" s="782"/>
      <c r="AM65" s="782"/>
      <c r="AN65" s="782"/>
      <c r="AO65" s="782"/>
      <c r="AP65" s="782"/>
      <c r="AQ65" s="782"/>
      <c r="AR65" s="782"/>
      <c r="AS65" s="782"/>
      <c r="AT65" s="782"/>
      <c r="AU65" s="782"/>
      <c r="AV65" s="782"/>
      <c r="AW65" s="782"/>
      <c r="AX65" s="782"/>
      <c r="AY65" s="782"/>
      <c r="AZ65" s="782"/>
      <c r="BA65" s="782"/>
      <c r="BB65" s="782"/>
      <c r="BC65" s="782"/>
    </row>
    <row r="66" spans="1:55" s="45" customFormat="1" x14ac:dyDescent="0.2">
      <c r="A66" s="782"/>
      <c r="B66" s="782"/>
      <c r="C66" s="782"/>
      <c r="D66" s="782"/>
      <c r="E66" s="782"/>
      <c r="F66" s="782"/>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c r="AK66" s="782"/>
      <c r="AL66" s="782"/>
      <c r="AM66" s="782"/>
      <c r="AN66" s="782"/>
      <c r="AO66" s="782"/>
      <c r="AP66" s="782"/>
      <c r="AQ66" s="782"/>
      <c r="AR66" s="782"/>
      <c r="AS66" s="782"/>
      <c r="AT66" s="782"/>
      <c r="AU66" s="782"/>
      <c r="AV66" s="782"/>
      <c r="AW66" s="782"/>
      <c r="AX66" s="782"/>
      <c r="AY66" s="782"/>
      <c r="AZ66" s="782"/>
      <c r="BA66" s="782"/>
      <c r="BB66" s="782"/>
      <c r="BC66" s="782"/>
    </row>
    <row r="67" spans="1:55" s="45" customFormat="1" x14ac:dyDescent="0.2">
      <c r="A67" s="782"/>
      <c r="B67" s="782"/>
      <c r="C67" s="782"/>
      <c r="D67" s="782"/>
      <c r="E67" s="782"/>
      <c r="F67" s="782"/>
      <c r="G67" s="782"/>
      <c r="H67" s="782"/>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2"/>
      <c r="AG67" s="782"/>
      <c r="AH67" s="782"/>
      <c r="AI67" s="782"/>
      <c r="AJ67" s="782"/>
      <c r="AK67" s="782"/>
      <c r="AL67" s="782"/>
      <c r="AM67" s="782"/>
      <c r="AN67" s="782"/>
      <c r="AO67" s="782"/>
      <c r="AP67" s="782"/>
      <c r="AQ67" s="782"/>
      <c r="AR67" s="782"/>
      <c r="AS67" s="782"/>
      <c r="AT67" s="782"/>
      <c r="AU67" s="782"/>
      <c r="AV67" s="782"/>
      <c r="AW67" s="782"/>
      <c r="AX67" s="782"/>
      <c r="AY67" s="782"/>
      <c r="AZ67" s="782"/>
      <c r="BA67" s="782"/>
      <c r="BB67" s="782"/>
      <c r="BC67" s="782"/>
    </row>
    <row r="68" spans="1:55" s="45" customFormat="1" x14ac:dyDescent="0.2">
      <c r="A68" s="782"/>
      <c r="B68" s="782"/>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2"/>
      <c r="AL68" s="782"/>
      <c r="AM68" s="782"/>
      <c r="AN68" s="782"/>
      <c r="AO68" s="782"/>
      <c r="AP68" s="782"/>
      <c r="AQ68" s="782"/>
      <c r="AR68" s="782"/>
      <c r="AS68" s="782"/>
      <c r="AT68" s="782"/>
      <c r="AU68" s="782"/>
      <c r="AV68" s="782"/>
      <c r="AW68" s="782"/>
      <c r="AX68" s="782"/>
      <c r="AY68" s="782"/>
      <c r="AZ68" s="782"/>
      <c r="BA68" s="782"/>
      <c r="BB68" s="782"/>
      <c r="BC68" s="782"/>
    </row>
    <row r="69" spans="1:55" s="45" customFormat="1" x14ac:dyDescent="0.2">
      <c r="A69" s="782"/>
      <c r="B69" s="782"/>
      <c r="C69" s="782"/>
      <c r="D69" s="782"/>
      <c r="E69" s="782"/>
      <c r="F69" s="782"/>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c r="AK69" s="782"/>
      <c r="AL69" s="782"/>
      <c r="AM69" s="782"/>
      <c r="AN69" s="782"/>
      <c r="AO69" s="782"/>
      <c r="AP69" s="782"/>
      <c r="AQ69" s="782"/>
      <c r="AR69" s="782"/>
      <c r="AS69" s="782"/>
      <c r="AT69" s="782"/>
      <c r="AU69" s="782"/>
      <c r="AV69" s="782"/>
      <c r="AW69" s="782"/>
      <c r="AX69" s="782"/>
      <c r="AY69" s="782"/>
      <c r="AZ69" s="782"/>
      <c r="BA69" s="782"/>
      <c r="BB69" s="782"/>
      <c r="BC69" s="782"/>
    </row>
    <row r="70" spans="1:55" s="45" customFormat="1" x14ac:dyDescent="0.2">
      <c r="A70" s="782"/>
      <c r="B70" s="782"/>
      <c r="C70" s="782"/>
      <c r="D70" s="782"/>
      <c r="E70" s="782"/>
      <c r="F70" s="782"/>
      <c r="G70" s="782"/>
      <c r="H70" s="782"/>
      <c r="I70" s="782"/>
      <c r="J70" s="782"/>
      <c r="K70" s="782"/>
      <c r="L70" s="782"/>
      <c r="M70" s="782"/>
      <c r="N70" s="782"/>
      <c r="O70" s="782"/>
      <c r="P70" s="782"/>
      <c r="Q70" s="782"/>
      <c r="R70" s="782"/>
      <c r="S70" s="782"/>
      <c r="T70" s="782"/>
      <c r="U70" s="782"/>
      <c r="V70" s="782"/>
      <c r="W70" s="782"/>
      <c r="X70" s="782"/>
      <c r="Y70" s="782"/>
      <c r="Z70" s="782"/>
      <c r="AA70" s="782"/>
      <c r="AB70" s="782"/>
      <c r="AC70" s="782"/>
      <c r="AD70" s="782"/>
      <c r="AE70" s="782"/>
      <c r="AF70" s="782"/>
      <c r="AG70" s="782"/>
      <c r="AH70" s="782"/>
      <c r="AI70" s="782"/>
      <c r="AJ70" s="782"/>
      <c r="AK70" s="782"/>
      <c r="AL70" s="782"/>
      <c r="AM70" s="782"/>
      <c r="AN70" s="782"/>
      <c r="AO70" s="782"/>
      <c r="AP70" s="782"/>
      <c r="AQ70" s="782"/>
      <c r="AR70" s="782"/>
      <c r="AS70" s="782"/>
      <c r="AT70" s="782"/>
      <c r="AU70" s="782"/>
      <c r="AV70" s="782"/>
      <c r="AW70" s="782"/>
      <c r="AX70" s="782"/>
      <c r="AY70" s="782"/>
      <c r="AZ70" s="782"/>
      <c r="BA70" s="782"/>
      <c r="BB70" s="782"/>
      <c r="BC70" s="782"/>
    </row>
    <row r="71" spans="1:55" s="45" customFormat="1" x14ac:dyDescent="0.2">
      <c r="A71" s="782"/>
      <c r="B71" s="782"/>
      <c r="C71" s="782"/>
      <c r="D71" s="782"/>
      <c r="E71" s="782"/>
      <c r="F71" s="782"/>
      <c r="G71" s="782"/>
      <c r="H71" s="782"/>
      <c r="I71" s="782"/>
      <c r="J71" s="782"/>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c r="AK71" s="782"/>
      <c r="AL71" s="782"/>
      <c r="AM71" s="782"/>
      <c r="AN71" s="782"/>
      <c r="AO71" s="782"/>
      <c r="AP71" s="782"/>
      <c r="AQ71" s="782"/>
      <c r="AR71" s="782"/>
      <c r="AS71" s="782"/>
      <c r="AT71" s="782"/>
      <c r="AU71" s="782"/>
      <c r="AV71" s="782"/>
      <c r="AW71" s="782"/>
      <c r="AX71" s="782"/>
      <c r="AY71" s="782"/>
      <c r="AZ71" s="782"/>
      <c r="BA71" s="782"/>
      <c r="BB71" s="782"/>
      <c r="BC71" s="782"/>
    </row>
    <row r="72" spans="1:55" s="45" customFormat="1" x14ac:dyDescent="0.2">
      <c r="A72" s="782"/>
      <c r="B72" s="782"/>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2"/>
      <c r="AT72" s="782"/>
      <c r="AU72" s="782"/>
      <c r="AV72" s="782"/>
      <c r="AW72" s="782"/>
      <c r="AX72" s="782"/>
      <c r="AY72" s="782"/>
      <c r="AZ72" s="782"/>
      <c r="BA72" s="782"/>
      <c r="BB72" s="782"/>
      <c r="BC72" s="782"/>
    </row>
    <row r="73" spans="1:55" s="45" customFormat="1" x14ac:dyDescent="0.2">
      <c r="A73" s="782"/>
      <c r="B73" s="782"/>
      <c r="C73" s="782"/>
      <c r="D73" s="782"/>
      <c r="E73" s="782"/>
      <c r="F73" s="782"/>
      <c r="G73" s="782"/>
      <c r="H73" s="782"/>
      <c r="I73" s="782"/>
      <c r="J73" s="782"/>
      <c r="K73" s="782"/>
      <c r="L73" s="782"/>
      <c r="M73" s="782"/>
      <c r="N73" s="782"/>
      <c r="O73" s="782"/>
      <c r="P73" s="782"/>
      <c r="Q73" s="782"/>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782"/>
      <c r="AT73" s="782"/>
      <c r="AU73" s="782"/>
      <c r="AV73" s="782"/>
      <c r="AW73" s="782"/>
      <c r="AX73" s="782"/>
      <c r="AY73" s="782"/>
      <c r="AZ73" s="782"/>
      <c r="BA73" s="782"/>
      <c r="BB73" s="782"/>
      <c r="BC73" s="782"/>
    </row>
    <row r="74" spans="1:55" s="45" customFormat="1" x14ac:dyDescent="0.2">
      <c r="A74" s="782"/>
      <c r="B74" s="782"/>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c r="AJ74" s="782"/>
      <c r="AK74" s="782"/>
      <c r="AL74" s="782"/>
      <c r="AM74" s="782"/>
      <c r="AN74" s="782"/>
      <c r="AO74" s="782"/>
      <c r="AP74" s="782"/>
      <c r="AQ74" s="782"/>
      <c r="AR74" s="782"/>
      <c r="AS74" s="782"/>
      <c r="AT74" s="782"/>
      <c r="AU74" s="782"/>
      <c r="AV74" s="782"/>
      <c r="AW74" s="782"/>
      <c r="AX74" s="782"/>
      <c r="AY74" s="782"/>
      <c r="AZ74" s="782"/>
      <c r="BA74" s="782"/>
      <c r="BB74" s="782"/>
      <c r="BC74" s="782"/>
    </row>
    <row r="75" spans="1:55" s="45" customFormat="1" x14ac:dyDescent="0.2">
      <c r="A75" s="782"/>
      <c r="B75" s="782"/>
      <c r="C75" s="78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c r="AJ75" s="782"/>
      <c r="AK75" s="782"/>
      <c r="AL75" s="782"/>
      <c r="AM75" s="782"/>
      <c r="AN75" s="782"/>
      <c r="AO75" s="782"/>
      <c r="AP75" s="782"/>
      <c r="AQ75" s="782"/>
      <c r="AR75" s="782"/>
      <c r="AS75" s="782"/>
      <c r="AT75" s="782"/>
      <c r="AU75" s="782"/>
      <c r="AV75" s="782"/>
      <c r="AW75" s="782"/>
      <c r="AX75" s="782"/>
      <c r="AY75" s="782"/>
      <c r="AZ75" s="782"/>
      <c r="BA75" s="782"/>
      <c r="BB75" s="782"/>
      <c r="BC75" s="782"/>
    </row>
    <row r="76" spans="1:55" s="45" customFormat="1" x14ac:dyDescent="0.2">
      <c r="A76" s="782"/>
      <c r="B76" s="782"/>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c r="AJ76" s="782"/>
      <c r="AK76" s="782"/>
      <c r="AL76" s="782"/>
      <c r="AM76" s="782"/>
      <c r="AN76" s="782"/>
      <c r="AO76" s="782"/>
      <c r="AP76" s="782"/>
      <c r="AQ76" s="782"/>
      <c r="AR76" s="782"/>
      <c r="AS76" s="782"/>
      <c r="AT76" s="782"/>
      <c r="AU76" s="782"/>
      <c r="AV76" s="782"/>
      <c r="AW76" s="782"/>
      <c r="AX76" s="782"/>
      <c r="AY76" s="782"/>
      <c r="AZ76" s="782"/>
      <c r="BA76" s="782"/>
      <c r="BB76" s="782"/>
      <c r="BC76" s="782"/>
    </row>
    <row r="77" spans="1:55" s="45" customFormat="1" x14ac:dyDescent="0.2">
      <c r="A77" s="782"/>
      <c r="B77" s="782"/>
      <c r="C77" s="782"/>
      <c r="D77" s="782"/>
      <c r="E77" s="782"/>
      <c r="F77" s="782"/>
      <c r="G77" s="782"/>
      <c r="H77" s="782"/>
      <c r="I77" s="782"/>
      <c r="J77" s="782"/>
      <c r="K77" s="782"/>
      <c r="L77" s="782"/>
      <c r="M77" s="782"/>
      <c r="N77" s="782"/>
      <c r="O77" s="782"/>
      <c r="P77" s="782"/>
      <c r="Q77" s="782"/>
      <c r="R77" s="782"/>
      <c r="S77" s="782"/>
      <c r="T77" s="782"/>
      <c r="U77" s="782"/>
      <c r="V77" s="782"/>
      <c r="W77" s="782"/>
      <c r="X77" s="782"/>
      <c r="Y77" s="782"/>
      <c r="Z77" s="782"/>
      <c r="AA77" s="782"/>
      <c r="AB77" s="782"/>
      <c r="AC77" s="782"/>
      <c r="AD77" s="782"/>
      <c r="AE77" s="782"/>
      <c r="AF77" s="782"/>
      <c r="AG77" s="782"/>
      <c r="AH77" s="782"/>
      <c r="AI77" s="782"/>
      <c r="AJ77" s="782"/>
      <c r="AK77" s="782"/>
      <c r="AL77" s="782"/>
      <c r="AM77" s="782"/>
      <c r="AN77" s="782"/>
      <c r="AO77" s="782"/>
      <c r="AP77" s="782"/>
      <c r="AQ77" s="782"/>
      <c r="AR77" s="782"/>
      <c r="AS77" s="782"/>
      <c r="AT77" s="782"/>
      <c r="AU77" s="782"/>
      <c r="AV77" s="782"/>
      <c r="AW77" s="782"/>
      <c r="AX77" s="782"/>
      <c r="AY77" s="782"/>
      <c r="AZ77" s="782"/>
      <c r="BA77" s="782"/>
      <c r="BB77" s="782"/>
      <c r="BC77" s="782"/>
    </row>
    <row r="78" spans="1:55" s="45" customFormat="1" x14ac:dyDescent="0.2">
      <c r="A78" s="782"/>
      <c r="B78" s="782"/>
      <c r="C78" s="782"/>
      <c r="D78" s="782"/>
      <c r="E78" s="782"/>
      <c r="F78" s="782"/>
      <c r="G78" s="782"/>
      <c r="H78" s="782"/>
      <c r="I78" s="782"/>
      <c r="J78" s="782"/>
      <c r="K78" s="782"/>
      <c r="L78" s="782"/>
      <c r="M78" s="782"/>
      <c r="N78" s="782"/>
      <c r="O78" s="782"/>
      <c r="P78" s="782"/>
      <c r="Q78" s="782"/>
      <c r="R78" s="782"/>
      <c r="S78" s="782"/>
      <c r="T78" s="782"/>
      <c r="U78" s="782"/>
      <c r="V78" s="782"/>
      <c r="W78" s="782"/>
      <c r="X78" s="782"/>
      <c r="Y78" s="782"/>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2"/>
      <c r="AX78" s="782"/>
      <c r="AY78" s="782"/>
      <c r="AZ78" s="782"/>
      <c r="BA78" s="782"/>
      <c r="BB78" s="782"/>
      <c r="BC78" s="782"/>
    </row>
    <row r="79" spans="1:55" s="45" customFormat="1" x14ac:dyDescent="0.2">
      <c r="A79" s="782"/>
      <c r="B79" s="782"/>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82"/>
      <c r="AC79" s="782"/>
      <c r="AD79" s="782"/>
      <c r="AE79" s="782"/>
      <c r="AF79" s="782"/>
      <c r="AG79" s="782"/>
      <c r="AH79" s="782"/>
      <c r="AI79" s="782"/>
      <c r="AJ79" s="782"/>
      <c r="AK79" s="782"/>
      <c r="AL79" s="782"/>
      <c r="AM79" s="782"/>
      <c r="AN79" s="782"/>
      <c r="AO79" s="782"/>
      <c r="AP79" s="782"/>
      <c r="AQ79" s="782"/>
      <c r="AR79" s="782"/>
      <c r="AS79" s="782"/>
      <c r="AT79" s="782"/>
      <c r="AU79" s="782"/>
      <c r="AV79" s="782"/>
      <c r="AW79" s="782"/>
      <c r="AX79" s="782"/>
      <c r="AY79" s="782"/>
      <c r="AZ79" s="782"/>
      <c r="BA79" s="782"/>
      <c r="BB79" s="782"/>
      <c r="BC79" s="782"/>
    </row>
    <row r="80" spans="1:55" s="45" customFormat="1" x14ac:dyDescent="0.2">
      <c r="A80" s="782"/>
      <c r="B80" s="782"/>
      <c r="C80" s="782"/>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c r="AK80" s="782"/>
      <c r="AL80" s="782"/>
      <c r="AM80" s="782"/>
      <c r="AN80" s="782"/>
      <c r="AO80" s="782"/>
      <c r="AP80" s="782"/>
      <c r="AQ80" s="782"/>
      <c r="AR80" s="782"/>
      <c r="AS80" s="782"/>
      <c r="AT80" s="782"/>
      <c r="AU80" s="782"/>
      <c r="AV80" s="782"/>
      <c r="AW80" s="782"/>
      <c r="AX80" s="782"/>
      <c r="AY80" s="782"/>
      <c r="AZ80" s="782"/>
      <c r="BA80" s="782"/>
      <c r="BB80" s="782"/>
      <c r="BC80" s="782"/>
    </row>
    <row r="81" spans="1:55" s="45" customFormat="1" x14ac:dyDescent="0.2">
      <c r="A81" s="782"/>
      <c r="B81" s="782"/>
      <c r="C81" s="782"/>
      <c r="D81" s="782"/>
      <c r="E81" s="782"/>
      <c r="F81" s="782"/>
      <c r="G81" s="782"/>
      <c r="H81" s="782"/>
      <c r="I81" s="782"/>
      <c r="J81" s="782"/>
      <c r="K81" s="782"/>
      <c r="L81" s="782"/>
      <c r="M81" s="782"/>
      <c r="N81" s="782"/>
      <c r="O81" s="782"/>
      <c r="P81" s="782"/>
      <c r="Q81" s="782"/>
      <c r="R81" s="782"/>
      <c r="S81" s="782"/>
      <c r="T81" s="782"/>
      <c r="U81" s="782"/>
      <c r="V81" s="782"/>
      <c r="W81" s="782"/>
      <c r="X81" s="782"/>
      <c r="Y81" s="782"/>
      <c r="Z81" s="782"/>
      <c r="AA81" s="782"/>
      <c r="AB81" s="782"/>
      <c r="AC81" s="782"/>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2"/>
      <c r="BA81" s="782"/>
      <c r="BB81" s="782"/>
      <c r="BC81" s="782"/>
    </row>
    <row r="82" spans="1:55" s="45" customFormat="1" x14ac:dyDescent="0.2">
      <c r="A82" s="782"/>
      <c r="B82" s="782"/>
      <c r="C82" s="782"/>
      <c r="D82" s="782"/>
      <c r="E82" s="782"/>
      <c r="F82" s="782"/>
      <c r="G82" s="782"/>
      <c r="H82" s="782"/>
      <c r="I82" s="782"/>
      <c r="J82" s="782"/>
      <c r="K82" s="782"/>
      <c r="L82" s="782"/>
      <c r="M82" s="782"/>
      <c r="N82" s="782"/>
      <c r="O82" s="782"/>
      <c r="P82" s="782"/>
      <c r="Q82" s="782"/>
      <c r="R82" s="782"/>
      <c r="S82" s="782"/>
      <c r="T82" s="782"/>
      <c r="U82" s="782"/>
      <c r="V82" s="782"/>
      <c r="W82" s="782"/>
      <c r="X82" s="782"/>
      <c r="Y82" s="782"/>
      <c r="Z82" s="782"/>
      <c r="AA82" s="782"/>
      <c r="AB82" s="782"/>
      <c r="AC82" s="782"/>
      <c r="AD82" s="782"/>
      <c r="AE82" s="782"/>
      <c r="AF82" s="782"/>
      <c r="AG82" s="782"/>
      <c r="AH82" s="782"/>
      <c r="AI82" s="782"/>
      <c r="AJ82" s="782"/>
      <c r="AK82" s="782"/>
      <c r="AL82" s="782"/>
      <c r="AM82" s="782"/>
      <c r="AN82" s="782"/>
      <c r="AO82" s="782"/>
      <c r="AP82" s="782"/>
      <c r="AQ82" s="782"/>
      <c r="AR82" s="782"/>
      <c r="AS82" s="782"/>
      <c r="AT82" s="782"/>
      <c r="AU82" s="782"/>
      <c r="AV82" s="782"/>
      <c r="AW82" s="782"/>
      <c r="AX82" s="782"/>
      <c r="AY82" s="782"/>
      <c r="AZ82" s="782"/>
      <c r="BA82" s="782"/>
      <c r="BB82" s="782"/>
      <c r="BC82" s="782"/>
    </row>
    <row r="83" spans="1:55" s="45" customFormat="1" x14ac:dyDescent="0.2">
      <c r="A83" s="782"/>
      <c r="B83" s="782"/>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82"/>
      <c r="AC83" s="782"/>
      <c r="AD83" s="782"/>
      <c r="AE83" s="782"/>
      <c r="AF83" s="782"/>
      <c r="AG83" s="782"/>
      <c r="AH83" s="782"/>
      <c r="AI83" s="782"/>
      <c r="AJ83" s="782"/>
      <c r="AK83" s="782"/>
      <c r="AL83" s="782"/>
      <c r="AM83" s="782"/>
      <c r="AN83" s="782"/>
      <c r="AO83" s="782"/>
      <c r="AP83" s="782"/>
      <c r="AQ83" s="782"/>
      <c r="AR83" s="782"/>
      <c r="AS83" s="782"/>
      <c r="AT83" s="782"/>
      <c r="AU83" s="782"/>
      <c r="AV83" s="782"/>
      <c r="AW83" s="782"/>
      <c r="AX83" s="782"/>
      <c r="AY83" s="782"/>
      <c r="AZ83" s="782"/>
      <c r="BA83" s="782"/>
      <c r="BB83" s="782"/>
      <c r="BC83" s="782"/>
    </row>
    <row r="84" spans="1:55" s="45" customFormat="1" x14ac:dyDescent="0.2">
      <c r="A84" s="782"/>
      <c r="B84" s="782"/>
      <c r="C84" s="782"/>
      <c r="D84" s="782"/>
      <c r="E84" s="782"/>
      <c r="F84" s="782"/>
      <c r="G84" s="782"/>
      <c r="H84" s="782"/>
      <c r="I84" s="782"/>
      <c r="J84" s="782"/>
      <c r="K84" s="782"/>
      <c r="L84" s="782"/>
      <c r="M84" s="782"/>
      <c r="N84" s="782"/>
      <c r="O84" s="782"/>
      <c r="P84" s="782"/>
      <c r="Q84" s="782"/>
      <c r="R84" s="782"/>
      <c r="S84" s="782"/>
      <c r="T84" s="782"/>
      <c r="U84" s="782"/>
      <c r="V84" s="782"/>
      <c r="W84" s="782"/>
      <c r="X84" s="782"/>
      <c r="Y84" s="782"/>
      <c r="Z84" s="782"/>
      <c r="AA84" s="782"/>
      <c r="AB84" s="782"/>
      <c r="AC84" s="782"/>
      <c r="AD84" s="782"/>
      <c r="AE84" s="782"/>
      <c r="AF84" s="782"/>
      <c r="AG84" s="782"/>
      <c r="AH84" s="782"/>
      <c r="AI84" s="782"/>
      <c r="AJ84" s="782"/>
      <c r="AK84" s="782"/>
      <c r="AL84" s="782"/>
      <c r="AM84" s="782"/>
      <c r="AN84" s="782"/>
      <c r="AO84" s="782"/>
      <c r="AP84" s="782"/>
      <c r="AQ84" s="782"/>
      <c r="AR84" s="782"/>
      <c r="AS84" s="782"/>
      <c r="AT84" s="782"/>
      <c r="AU84" s="782"/>
      <c r="AV84" s="782"/>
      <c r="AW84" s="782"/>
      <c r="AX84" s="782"/>
      <c r="AY84" s="782"/>
      <c r="AZ84" s="782"/>
      <c r="BA84" s="782"/>
      <c r="BB84" s="782"/>
      <c r="BC84" s="782"/>
    </row>
    <row r="85" spans="1:55" s="45" customFormat="1" x14ac:dyDescent="0.2">
      <c r="A85" s="782"/>
      <c r="B85" s="782"/>
      <c r="C85" s="782"/>
      <c r="D85" s="782"/>
      <c r="E85" s="782"/>
      <c r="F85" s="782"/>
      <c r="G85" s="782"/>
      <c r="H85" s="782"/>
      <c r="I85" s="782"/>
      <c r="J85" s="782"/>
      <c r="K85" s="782"/>
      <c r="L85" s="782"/>
      <c r="M85" s="782"/>
      <c r="N85" s="782"/>
      <c r="O85" s="782"/>
      <c r="P85" s="782"/>
      <c r="Q85" s="782"/>
      <c r="R85" s="782"/>
      <c r="S85" s="782"/>
      <c r="T85" s="782"/>
      <c r="U85" s="782"/>
      <c r="V85" s="782"/>
      <c r="W85" s="782"/>
      <c r="X85" s="782"/>
      <c r="Y85" s="782"/>
      <c r="Z85" s="782"/>
      <c r="AA85" s="782"/>
      <c r="AB85" s="782"/>
      <c r="AC85" s="782"/>
      <c r="AD85" s="782"/>
      <c r="AE85" s="782"/>
      <c r="AF85" s="782"/>
      <c r="AG85" s="782"/>
      <c r="AH85" s="782"/>
      <c r="AI85" s="782"/>
      <c r="AJ85" s="782"/>
      <c r="AK85" s="782"/>
      <c r="AL85" s="782"/>
      <c r="AM85" s="782"/>
      <c r="AN85" s="782"/>
      <c r="AO85" s="782"/>
      <c r="AP85" s="782"/>
      <c r="AQ85" s="782"/>
      <c r="AR85" s="782"/>
      <c r="AS85" s="782"/>
      <c r="AT85" s="782"/>
      <c r="AU85" s="782"/>
      <c r="AV85" s="782"/>
      <c r="AW85" s="782"/>
      <c r="AX85" s="782"/>
      <c r="AY85" s="782"/>
      <c r="AZ85" s="782"/>
      <c r="BA85" s="782"/>
      <c r="BB85" s="782"/>
      <c r="BC85" s="782"/>
    </row>
    <row r="86" spans="1:55" s="45" customFormat="1" x14ac:dyDescent="0.2">
      <c r="A86" s="782"/>
      <c r="B86" s="782"/>
      <c r="C86" s="782"/>
      <c r="D86" s="782"/>
      <c r="E86" s="782"/>
      <c r="F86" s="782"/>
      <c r="G86" s="782"/>
      <c r="H86" s="782"/>
      <c r="I86" s="782"/>
      <c r="J86" s="782"/>
      <c r="K86" s="782"/>
      <c r="L86" s="782"/>
      <c r="M86" s="782"/>
      <c r="N86" s="782"/>
      <c r="O86" s="782"/>
      <c r="P86" s="782"/>
      <c r="Q86" s="782"/>
      <c r="R86" s="782"/>
      <c r="S86" s="782"/>
      <c r="T86" s="782"/>
      <c r="U86" s="782"/>
      <c r="V86" s="782"/>
      <c r="W86" s="782"/>
      <c r="X86" s="782"/>
      <c r="Y86" s="782"/>
      <c r="Z86" s="782"/>
      <c r="AA86" s="782"/>
      <c r="AB86" s="782"/>
      <c r="AC86" s="782"/>
      <c r="AD86" s="782"/>
      <c r="AE86" s="782"/>
      <c r="AF86" s="782"/>
      <c r="AG86" s="782"/>
      <c r="AH86" s="782"/>
      <c r="AI86" s="782"/>
      <c r="AJ86" s="782"/>
      <c r="AK86" s="782"/>
      <c r="AL86" s="782"/>
      <c r="AM86" s="782"/>
      <c r="AN86" s="782"/>
      <c r="AO86" s="782"/>
      <c r="AP86" s="782"/>
      <c r="AQ86" s="782"/>
      <c r="AR86" s="782"/>
      <c r="AS86" s="782"/>
      <c r="AT86" s="782"/>
      <c r="AU86" s="782"/>
      <c r="AV86" s="782"/>
      <c r="AW86" s="782"/>
      <c r="AX86" s="782"/>
      <c r="AY86" s="782"/>
      <c r="AZ86" s="782"/>
      <c r="BA86" s="782"/>
      <c r="BB86" s="782"/>
      <c r="BC86" s="782"/>
    </row>
    <row r="87" spans="1:55" s="45" customFormat="1" x14ac:dyDescent="0.2">
      <c r="A87" s="782"/>
      <c r="B87" s="782"/>
      <c r="C87" s="782"/>
      <c r="D87" s="782"/>
      <c r="E87" s="782"/>
      <c r="F87" s="782"/>
      <c r="G87" s="782"/>
      <c r="H87" s="782"/>
      <c r="I87" s="782"/>
      <c r="J87" s="782"/>
      <c r="K87" s="782"/>
      <c r="L87" s="782"/>
      <c r="M87" s="782"/>
      <c r="N87" s="782"/>
      <c r="O87" s="782"/>
      <c r="P87" s="782"/>
      <c r="Q87" s="782"/>
      <c r="R87" s="782"/>
      <c r="S87" s="782"/>
      <c r="T87" s="782"/>
      <c r="U87" s="782"/>
      <c r="V87" s="782"/>
      <c r="W87" s="782"/>
      <c r="X87" s="782"/>
      <c r="Y87" s="782"/>
      <c r="Z87" s="782"/>
      <c r="AA87" s="782"/>
      <c r="AB87" s="782"/>
      <c r="AC87" s="782"/>
      <c r="AD87" s="782"/>
      <c r="AE87" s="782"/>
      <c r="AF87" s="782"/>
      <c r="AG87" s="782"/>
      <c r="AH87" s="782"/>
      <c r="AI87" s="782"/>
      <c r="AJ87" s="782"/>
      <c r="AK87" s="782"/>
      <c r="AL87" s="782"/>
      <c r="AM87" s="782"/>
      <c r="AN87" s="782"/>
      <c r="AO87" s="782"/>
      <c r="AP87" s="782"/>
      <c r="AQ87" s="782"/>
      <c r="AR87" s="782"/>
      <c r="AS87" s="782"/>
      <c r="AT87" s="782"/>
      <c r="AU87" s="782"/>
      <c r="AV87" s="782"/>
      <c r="AW87" s="782"/>
      <c r="AX87" s="782"/>
      <c r="AY87" s="782"/>
      <c r="AZ87" s="782"/>
      <c r="BA87" s="782"/>
      <c r="BB87" s="782"/>
      <c r="BC87" s="782"/>
    </row>
    <row r="88" spans="1:55" s="45" customFormat="1" x14ac:dyDescent="0.2">
      <c r="A88" s="782"/>
      <c r="B88" s="782"/>
      <c r="C88" s="782"/>
      <c r="D88" s="782"/>
      <c r="E88" s="782"/>
      <c r="F88" s="782"/>
      <c r="G88" s="782"/>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c r="AK88" s="782"/>
      <c r="AL88" s="782"/>
      <c r="AM88" s="782"/>
      <c r="AN88" s="782"/>
      <c r="AO88" s="782"/>
      <c r="AP88" s="782"/>
      <c r="AQ88" s="782"/>
      <c r="AR88" s="782"/>
      <c r="AS88" s="782"/>
      <c r="AT88" s="782"/>
      <c r="AU88" s="782"/>
      <c r="AV88" s="782"/>
      <c r="AW88" s="782"/>
      <c r="AX88" s="782"/>
      <c r="AY88" s="782"/>
      <c r="AZ88" s="782"/>
      <c r="BA88" s="782"/>
      <c r="BB88" s="782"/>
      <c r="BC88" s="782"/>
    </row>
    <row r="89" spans="1:55" s="45" customFormat="1" x14ac:dyDescent="0.2">
      <c r="A89" s="782"/>
      <c r="B89" s="782"/>
      <c r="C89" s="782"/>
      <c r="D89" s="782"/>
      <c r="E89" s="782"/>
      <c r="F89" s="782"/>
      <c r="G89" s="782"/>
      <c r="H89" s="782"/>
      <c r="I89" s="782"/>
      <c r="J89" s="782"/>
      <c r="K89" s="782"/>
      <c r="L89" s="782"/>
      <c r="M89" s="782"/>
      <c r="N89" s="782"/>
      <c r="O89" s="782"/>
      <c r="P89" s="782"/>
      <c r="Q89" s="782"/>
      <c r="R89" s="782"/>
      <c r="S89" s="782"/>
      <c r="T89" s="782"/>
      <c r="U89" s="782"/>
      <c r="V89" s="782"/>
      <c r="W89" s="782"/>
      <c r="X89" s="782"/>
      <c r="Y89" s="782"/>
      <c r="Z89" s="782"/>
      <c r="AA89" s="782"/>
      <c r="AB89" s="782"/>
      <c r="AC89" s="782"/>
      <c r="AD89" s="782"/>
      <c r="AE89" s="782"/>
      <c r="AF89" s="782"/>
      <c r="AG89" s="782"/>
      <c r="AH89" s="782"/>
      <c r="AI89" s="782"/>
      <c r="AJ89" s="782"/>
      <c r="AK89" s="782"/>
      <c r="AL89" s="782"/>
      <c r="AM89" s="782"/>
      <c r="AN89" s="782"/>
      <c r="AO89" s="782"/>
      <c r="AP89" s="782"/>
      <c r="AQ89" s="782"/>
      <c r="AR89" s="782"/>
      <c r="AS89" s="782"/>
      <c r="AT89" s="782"/>
      <c r="AU89" s="782"/>
      <c r="AV89" s="782"/>
      <c r="AW89" s="782"/>
      <c r="AX89" s="782"/>
      <c r="AY89" s="782"/>
      <c r="AZ89" s="782"/>
      <c r="BA89" s="782"/>
      <c r="BB89" s="782"/>
      <c r="BC89" s="782"/>
    </row>
    <row r="90" spans="1:55" s="45" customFormat="1" x14ac:dyDescent="0.2">
      <c r="A90" s="782"/>
      <c r="B90" s="782"/>
      <c r="C90" s="782"/>
      <c r="D90" s="782"/>
      <c r="E90" s="782"/>
      <c r="F90" s="782"/>
      <c r="G90" s="782"/>
      <c r="H90" s="782"/>
      <c r="I90" s="782"/>
      <c r="J90" s="782"/>
      <c r="K90" s="782"/>
      <c r="L90" s="782"/>
      <c r="M90" s="782"/>
      <c r="N90" s="782"/>
      <c r="O90" s="782"/>
      <c r="P90" s="782"/>
      <c r="Q90" s="782"/>
      <c r="R90" s="782"/>
      <c r="S90" s="782"/>
      <c r="T90" s="782"/>
      <c r="U90" s="782"/>
      <c r="V90" s="782"/>
      <c r="W90" s="782"/>
      <c r="X90" s="782"/>
      <c r="Y90" s="782"/>
      <c r="Z90" s="782"/>
      <c r="AA90" s="782"/>
      <c r="AB90" s="782"/>
      <c r="AC90" s="782"/>
      <c r="AD90" s="782"/>
      <c r="AE90" s="782"/>
      <c r="AF90" s="782"/>
      <c r="AG90" s="782"/>
      <c r="AH90" s="782"/>
      <c r="AI90" s="782"/>
      <c r="AJ90" s="782"/>
      <c r="AK90" s="782"/>
      <c r="AL90" s="782"/>
      <c r="AM90" s="782"/>
      <c r="AN90" s="782"/>
      <c r="AO90" s="782"/>
      <c r="AP90" s="782"/>
      <c r="AQ90" s="782"/>
      <c r="AR90" s="782"/>
      <c r="AS90" s="782"/>
      <c r="AT90" s="782"/>
      <c r="AU90" s="782"/>
      <c r="AV90" s="782"/>
      <c r="AW90" s="782"/>
      <c r="AX90" s="782"/>
      <c r="AY90" s="782"/>
      <c r="AZ90" s="782"/>
      <c r="BA90" s="782"/>
      <c r="BB90" s="782"/>
      <c r="BC90" s="782"/>
    </row>
    <row r="91" spans="1:55" s="45" customFormat="1" x14ac:dyDescent="0.2">
      <c r="A91" s="782"/>
      <c r="B91" s="782"/>
      <c r="C91" s="782"/>
      <c r="D91" s="782"/>
      <c r="E91" s="782"/>
      <c r="F91" s="782"/>
      <c r="G91" s="782"/>
      <c r="H91" s="782"/>
      <c r="I91" s="782"/>
      <c r="J91" s="782"/>
      <c r="K91" s="782"/>
      <c r="L91" s="782"/>
      <c r="M91" s="782"/>
      <c r="N91" s="782"/>
      <c r="O91" s="782"/>
      <c r="P91" s="782"/>
      <c r="Q91" s="782"/>
      <c r="R91" s="782"/>
      <c r="S91" s="782"/>
      <c r="T91" s="782"/>
      <c r="U91" s="782"/>
      <c r="V91" s="782"/>
      <c r="W91" s="782"/>
      <c r="X91" s="782"/>
      <c r="Y91" s="782"/>
      <c r="Z91" s="782"/>
      <c r="AA91" s="782"/>
      <c r="AB91" s="782"/>
      <c r="AC91" s="782"/>
      <c r="AD91" s="782"/>
      <c r="AE91" s="782"/>
      <c r="AF91" s="782"/>
      <c r="AG91" s="782"/>
      <c r="AH91" s="782"/>
      <c r="AI91" s="782"/>
      <c r="AJ91" s="782"/>
      <c r="AK91" s="782"/>
      <c r="AL91" s="782"/>
      <c r="AM91" s="782"/>
      <c r="AN91" s="782"/>
      <c r="AO91" s="782"/>
      <c r="AP91" s="782"/>
      <c r="AQ91" s="782"/>
      <c r="AR91" s="782"/>
      <c r="AS91" s="782"/>
      <c r="AT91" s="782"/>
      <c r="AU91" s="782"/>
      <c r="AV91" s="782"/>
      <c r="AW91" s="782"/>
      <c r="AX91" s="782"/>
      <c r="AY91" s="782"/>
      <c r="AZ91" s="782"/>
      <c r="BA91" s="782"/>
      <c r="BB91" s="782"/>
      <c r="BC91" s="782"/>
    </row>
    <row r="92" spans="1:55" s="45" customFormat="1" x14ac:dyDescent="0.2">
      <c r="A92" s="782"/>
      <c r="B92" s="782"/>
      <c r="C92" s="782"/>
      <c r="D92" s="782"/>
      <c r="E92" s="782"/>
      <c r="F92" s="782"/>
      <c r="G92" s="782"/>
      <c r="H92" s="782"/>
      <c r="I92" s="782"/>
      <c r="J92" s="782"/>
      <c r="K92" s="782"/>
      <c r="L92" s="782"/>
      <c r="M92" s="782"/>
      <c r="N92" s="782"/>
      <c r="O92" s="782"/>
      <c r="P92" s="782"/>
      <c r="Q92" s="782"/>
      <c r="R92" s="782"/>
      <c r="S92" s="782"/>
      <c r="T92" s="782"/>
      <c r="U92" s="782"/>
      <c r="V92" s="782"/>
      <c r="W92" s="782"/>
      <c r="X92" s="782"/>
      <c r="Y92" s="782"/>
      <c r="Z92" s="782"/>
      <c r="AA92" s="782"/>
      <c r="AB92" s="782"/>
      <c r="AC92" s="782"/>
      <c r="AD92" s="782"/>
      <c r="AE92" s="782"/>
      <c r="AF92" s="782"/>
      <c r="AG92" s="782"/>
      <c r="AH92" s="782"/>
      <c r="AI92" s="782"/>
      <c r="AJ92" s="782"/>
      <c r="AK92" s="782"/>
      <c r="AL92" s="782"/>
      <c r="AM92" s="782"/>
      <c r="AN92" s="782"/>
      <c r="AO92" s="782"/>
      <c r="AP92" s="782"/>
      <c r="AQ92" s="782"/>
      <c r="AR92" s="782"/>
      <c r="AS92" s="782"/>
      <c r="AT92" s="782"/>
      <c r="AU92" s="782"/>
      <c r="AV92" s="782"/>
      <c r="AW92" s="782"/>
      <c r="AX92" s="782"/>
      <c r="AY92" s="782"/>
      <c r="AZ92" s="782"/>
      <c r="BA92" s="782"/>
      <c r="BB92" s="782"/>
      <c r="BC92" s="782"/>
    </row>
    <row r="93" spans="1:55" s="45" customFormat="1" x14ac:dyDescent="0.2">
      <c r="A93" s="782"/>
      <c r="B93" s="782"/>
      <c r="C93" s="782"/>
      <c r="D93" s="782"/>
      <c r="E93" s="782"/>
      <c r="F93" s="782"/>
      <c r="G93" s="782"/>
      <c r="H93" s="782"/>
      <c r="I93" s="782"/>
      <c r="J93" s="782"/>
      <c r="K93" s="782"/>
      <c r="L93" s="782"/>
      <c r="M93" s="782"/>
      <c r="N93" s="782"/>
      <c r="O93" s="782"/>
      <c r="P93" s="782"/>
      <c r="Q93" s="782"/>
      <c r="R93" s="782"/>
      <c r="S93" s="782"/>
      <c r="T93" s="782"/>
      <c r="U93" s="782"/>
      <c r="V93" s="782"/>
      <c r="W93" s="782"/>
      <c r="X93" s="782"/>
      <c r="Y93" s="782"/>
      <c r="Z93" s="782"/>
      <c r="AA93" s="782"/>
      <c r="AB93" s="782"/>
      <c r="AC93" s="782"/>
      <c r="AD93" s="782"/>
      <c r="AE93" s="782"/>
      <c r="AF93" s="782"/>
      <c r="AG93" s="782"/>
      <c r="AH93" s="782"/>
      <c r="AI93" s="782"/>
      <c r="AJ93" s="782"/>
      <c r="AK93" s="782"/>
      <c r="AL93" s="782"/>
      <c r="AM93" s="782"/>
      <c r="AN93" s="782"/>
      <c r="AO93" s="782"/>
      <c r="AP93" s="782"/>
      <c r="AQ93" s="782"/>
      <c r="AR93" s="782"/>
      <c r="AS93" s="782"/>
      <c r="AT93" s="782"/>
      <c r="AU93" s="782"/>
      <c r="AV93" s="782"/>
      <c r="AW93" s="782"/>
      <c r="AX93" s="782"/>
      <c r="AY93" s="782"/>
      <c r="AZ93" s="782"/>
      <c r="BA93" s="782"/>
      <c r="BB93" s="782"/>
      <c r="BC93" s="782"/>
    </row>
    <row r="94" spans="1:55" s="45" customFormat="1" x14ac:dyDescent="0.2">
      <c r="A94" s="782"/>
      <c r="B94" s="782"/>
      <c r="C94" s="782"/>
      <c r="D94" s="782"/>
      <c r="E94" s="782"/>
      <c r="F94" s="782"/>
      <c r="G94" s="782"/>
      <c r="H94" s="782"/>
      <c r="I94" s="782"/>
      <c r="J94" s="782"/>
      <c r="K94" s="782"/>
      <c r="L94" s="782"/>
      <c r="M94" s="782"/>
      <c r="N94" s="782"/>
      <c r="O94" s="782"/>
      <c r="P94" s="782"/>
      <c r="Q94" s="782"/>
      <c r="R94" s="782"/>
      <c r="S94" s="782"/>
      <c r="T94" s="782"/>
      <c r="U94" s="782"/>
      <c r="V94" s="782"/>
      <c r="W94" s="782"/>
      <c r="X94" s="782"/>
      <c r="Y94" s="782"/>
      <c r="Z94" s="782"/>
      <c r="AA94" s="782"/>
      <c r="AB94" s="782"/>
      <c r="AC94" s="782"/>
      <c r="AD94" s="782"/>
      <c r="AE94" s="782"/>
      <c r="AF94" s="782"/>
      <c r="AG94" s="782"/>
      <c r="AH94" s="782"/>
      <c r="AI94" s="782"/>
      <c r="AJ94" s="782"/>
      <c r="AK94" s="782"/>
      <c r="AL94" s="782"/>
      <c r="AM94" s="782"/>
      <c r="AN94" s="782"/>
      <c r="AO94" s="782"/>
      <c r="AP94" s="782"/>
      <c r="AQ94" s="782"/>
      <c r="AR94" s="782"/>
      <c r="AS94" s="782"/>
      <c r="AT94" s="782"/>
      <c r="AU94" s="782"/>
      <c r="AV94" s="782"/>
      <c r="AW94" s="782"/>
      <c r="AX94" s="782"/>
      <c r="AY94" s="782"/>
      <c r="AZ94" s="782"/>
      <c r="BA94" s="782"/>
      <c r="BB94" s="782"/>
      <c r="BC94" s="782"/>
    </row>
    <row r="95" spans="1:55" s="45" customFormat="1" x14ac:dyDescent="0.2">
      <c r="A95" s="782"/>
      <c r="B95" s="782"/>
      <c r="C95" s="782"/>
      <c r="D95" s="782"/>
      <c r="E95" s="782"/>
      <c r="F95" s="782"/>
      <c r="G95" s="782"/>
      <c r="H95" s="782"/>
      <c r="I95" s="782"/>
      <c r="J95" s="782"/>
      <c r="K95" s="782"/>
      <c r="L95" s="782"/>
      <c r="M95" s="782"/>
      <c r="N95" s="782"/>
      <c r="O95" s="782"/>
      <c r="P95" s="782"/>
      <c r="Q95" s="782"/>
      <c r="R95" s="782"/>
      <c r="S95" s="782"/>
      <c r="T95" s="782"/>
      <c r="U95" s="782"/>
      <c r="V95" s="782"/>
      <c r="W95" s="782"/>
      <c r="X95" s="782"/>
      <c r="Y95" s="782"/>
      <c r="Z95" s="782"/>
      <c r="AA95" s="782"/>
      <c r="AB95" s="782"/>
      <c r="AC95" s="782"/>
      <c r="AD95" s="782"/>
      <c r="AE95" s="782"/>
      <c r="AF95" s="782"/>
      <c r="AG95" s="782"/>
      <c r="AH95" s="782"/>
      <c r="AI95" s="782"/>
      <c r="AJ95" s="782"/>
      <c r="AK95" s="782"/>
      <c r="AL95" s="782"/>
      <c r="AM95" s="782"/>
      <c r="AN95" s="782"/>
      <c r="AO95" s="782"/>
      <c r="AP95" s="782"/>
      <c r="AQ95" s="782"/>
      <c r="AR95" s="782"/>
      <c r="AS95" s="782"/>
      <c r="AT95" s="782"/>
      <c r="AU95" s="782"/>
      <c r="AV95" s="782"/>
      <c r="AW95" s="782"/>
      <c r="AX95" s="782"/>
      <c r="AY95" s="782"/>
      <c r="AZ95" s="782"/>
      <c r="BA95" s="782"/>
      <c r="BB95" s="782"/>
      <c r="BC95" s="782"/>
    </row>
    <row r="96" spans="1:55" s="45" customFormat="1" x14ac:dyDescent="0.2">
      <c r="A96" s="782"/>
      <c r="B96" s="782"/>
      <c r="C96" s="782"/>
      <c r="D96" s="782"/>
      <c r="E96" s="782"/>
      <c r="F96" s="782"/>
      <c r="G96" s="782"/>
      <c r="H96" s="782"/>
      <c r="I96" s="782"/>
      <c r="J96" s="782"/>
      <c r="K96" s="782"/>
      <c r="L96" s="782"/>
      <c r="M96" s="782"/>
      <c r="N96" s="782"/>
      <c r="O96" s="782"/>
      <c r="P96" s="782"/>
      <c r="Q96" s="782"/>
      <c r="R96" s="782"/>
      <c r="S96" s="782"/>
      <c r="T96" s="782"/>
      <c r="U96" s="782"/>
      <c r="V96" s="782"/>
      <c r="W96" s="782"/>
      <c r="X96" s="782"/>
      <c r="Y96" s="782"/>
      <c r="Z96" s="782"/>
      <c r="AA96" s="782"/>
      <c r="AB96" s="782"/>
      <c r="AC96" s="782"/>
      <c r="AD96" s="782"/>
      <c r="AE96" s="782"/>
      <c r="AF96" s="782"/>
      <c r="AG96" s="782"/>
      <c r="AH96" s="782"/>
      <c r="AI96" s="782"/>
      <c r="AJ96" s="782"/>
      <c r="AK96" s="782"/>
      <c r="AL96" s="782"/>
      <c r="AM96" s="782"/>
      <c r="AN96" s="782"/>
      <c r="AO96" s="782"/>
      <c r="AP96" s="782"/>
      <c r="AQ96" s="782"/>
      <c r="AR96" s="782"/>
      <c r="AS96" s="782"/>
      <c r="AT96" s="782"/>
      <c r="AU96" s="782"/>
      <c r="AV96" s="782"/>
      <c r="AW96" s="782"/>
      <c r="AX96" s="782"/>
      <c r="AY96" s="782"/>
      <c r="AZ96" s="782"/>
      <c r="BA96" s="782"/>
      <c r="BB96" s="782"/>
      <c r="BC96" s="782"/>
    </row>
    <row r="97" spans="1:55" s="45" customFormat="1" x14ac:dyDescent="0.2">
      <c r="A97" s="782"/>
      <c r="B97" s="782"/>
      <c r="C97" s="782"/>
      <c r="D97" s="782"/>
      <c r="E97" s="782"/>
      <c r="F97" s="782"/>
      <c r="G97" s="782"/>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2"/>
      <c r="AI97" s="782"/>
      <c r="AJ97" s="782"/>
      <c r="AK97" s="782"/>
      <c r="AL97" s="782"/>
      <c r="AM97" s="782"/>
      <c r="AN97" s="782"/>
      <c r="AO97" s="782"/>
      <c r="AP97" s="782"/>
      <c r="AQ97" s="782"/>
      <c r="AR97" s="782"/>
      <c r="AS97" s="782"/>
      <c r="AT97" s="782"/>
      <c r="AU97" s="782"/>
      <c r="AV97" s="782"/>
      <c r="AW97" s="782"/>
      <c r="AX97" s="782"/>
      <c r="AY97" s="782"/>
      <c r="AZ97" s="782"/>
      <c r="BA97" s="782"/>
      <c r="BB97" s="782"/>
      <c r="BC97" s="782"/>
    </row>
    <row r="98" spans="1:55" s="45" customFormat="1" x14ac:dyDescent="0.2">
      <c r="A98" s="782"/>
      <c r="B98" s="782"/>
      <c r="C98" s="782"/>
      <c r="D98" s="782"/>
      <c r="E98" s="782"/>
      <c r="F98" s="782"/>
      <c r="G98" s="782"/>
      <c r="H98" s="782"/>
      <c r="I98" s="782"/>
      <c r="J98" s="782"/>
      <c r="K98" s="782"/>
      <c r="L98" s="782"/>
      <c r="M98" s="782"/>
      <c r="N98" s="782"/>
      <c r="O98" s="782"/>
      <c r="P98" s="782"/>
      <c r="Q98" s="782"/>
      <c r="R98" s="782"/>
      <c r="S98" s="782"/>
      <c r="T98" s="782"/>
      <c r="U98" s="782"/>
      <c r="V98" s="782"/>
      <c r="W98" s="782"/>
      <c r="X98" s="782"/>
      <c r="Y98" s="782"/>
      <c r="Z98" s="782"/>
      <c r="AA98" s="782"/>
      <c r="AB98" s="782"/>
      <c r="AC98" s="782"/>
      <c r="AD98" s="782"/>
      <c r="AE98" s="782"/>
      <c r="AF98" s="782"/>
      <c r="AG98" s="782"/>
      <c r="AH98" s="782"/>
      <c r="AI98" s="782"/>
      <c r="AJ98" s="782"/>
      <c r="AK98" s="782"/>
      <c r="AL98" s="782"/>
      <c r="AM98" s="782"/>
      <c r="AN98" s="782"/>
      <c r="AO98" s="782"/>
      <c r="AP98" s="782"/>
      <c r="AQ98" s="782"/>
      <c r="AR98" s="782"/>
      <c r="AS98" s="782"/>
      <c r="AT98" s="782"/>
      <c r="AU98" s="782"/>
      <c r="AV98" s="782"/>
      <c r="AW98" s="782"/>
      <c r="AX98" s="782"/>
      <c r="AY98" s="782"/>
      <c r="AZ98" s="782"/>
      <c r="BA98" s="782"/>
      <c r="BB98" s="782"/>
      <c r="BC98" s="782"/>
    </row>
    <row r="99" spans="1:55" s="45" customFormat="1" x14ac:dyDescent="0.2">
      <c r="A99" s="782"/>
      <c r="B99" s="782"/>
      <c r="C99" s="782"/>
      <c r="D99" s="782"/>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82"/>
      <c r="AO99" s="782"/>
      <c r="AP99" s="782"/>
      <c r="AQ99" s="782"/>
      <c r="AR99" s="782"/>
      <c r="AS99" s="782"/>
      <c r="AT99" s="782"/>
      <c r="AU99" s="782"/>
      <c r="AV99" s="782"/>
      <c r="AW99" s="782"/>
      <c r="AX99" s="782"/>
      <c r="AY99" s="782"/>
      <c r="AZ99" s="782"/>
      <c r="BA99" s="782"/>
      <c r="BB99" s="782"/>
      <c r="BC99" s="782"/>
    </row>
    <row r="100" spans="1:55" s="45" customFormat="1" x14ac:dyDescent="0.2">
      <c r="A100" s="782"/>
      <c r="B100" s="782"/>
      <c r="C100" s="782"/>
      <c r="D100" s="782"/>
      <c r="E100" s="782"/>
      <c r="F100" s="782"/>
      <c r="G100" s="782"/>
      <c r="H100" s="782"/>
      <c r="I100" s="782"/>
      <c r="J100" s="782"/>
      <c r="K100" s="782"/>
      <c r="L100" s="782"/>
      <c r="M100" s="782"/>
      <c r="N100" s="782"/>
      <c r="O100" s="782"/>
      <c r="P100" s="782"/>
      <c r="Q100" s="782"/>
      <c r="R100" s="782"/>
      <c r="S100" s="782"/>
      <c r="T100" s="782"/>
      <c r="U100" s="782"/>
      <c r="V100" s="782"/>
      <c r="W100" s="782"/>
      <c r="X100" s="782"/>
      <c r="Y100" s="782"/>
      <c r="Z100" s="782"/>
      <c r="AA100" s="782"/>
      <c r="AB100" s="782"/>
      <c r="AC100" s="782"/>
      <c r="AD100" s="782"/>
      <c r="AE100" s="782"/>
      <c r="AF100" s="782"/>
      <c r="AG100" s="782"/>
      <c r="AH100" s="782"/>
      <c r="AI100" s="782"/>
      <c r="AJ100" s="782"/>
      <c r="AK100" s="782"/>
      <c r="AL100" s="782"/>
      <c r="AM100" s="782"/>
      <c r="AN100" s="782"/>
      <c r="AO100" s="782"/>
      <c r="AP100" s="782"/>
      <c r="AQ100" s="782"/>
      <c r="AR100" s="782"/>
      <c r="AS100" s="782"/>
      <c r="AT100" s="782"/>
      <c r="AU100" s="782"/>
      <c r="AV100" s="782"/>
      <c r="AW100" s="782"/>
      <c r="AX100" s="782"/>
      <c r="AY100" s="782"/>
      <c r="AZ100" s="782"/>
      <c r="BA100" s="782"/>
      <c r="BB100" s="782"/>
      <c r="BC100" s="782"/>
    </row>
    <row r="101" spans="1:55" s="45" customFormat="1" x14ac:dyDescent="0.2">
      <c r="A101" s="782"/>
      <c r="B101" s="782"/>
      <c r="C101" s="782"/>
      <c r="D101" s="782"/>
      <c r="E101" s="782"/>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2"/>
      <c r="AI101" s="782"/>
      <c r="AJ101" s="782"/>
      <c r="AK101" s="782"/>
      <c r="AL101" s="782"/>
      <c r="AM101" s="782"/>
      <c r="AN101" s="782"/>
      <c r="AO101" s="782"/>
      <c r="AP101" s="782"/>
      <c r="AQ101" s="782"/>
      <c r="AR101" s="782"/>
      <c r="AS101" s="782"/>
      <c r="AT101" s="782"/>
      <c r="AU101" s="782"/>
      <c r="AV101" s="782"/>
      <c r="AW101" s="782"/>
      <c r="AX101" s="782"/>
      <c r="AY101" s="782"/>
      <c r="AZ101" s="782"/>
      <c r="BA101" s="782"/>
      <c r="BB101" s="782"/>
      <c r="BC101" s="782"/>
    </row>
    <row r="102" spans="1:55" s="45" customFormat="1" x14ac:dyDescent="0.2">
      <c r="A102" s="782"/>
      <c r="B102" s="782"/>
      <c r="C102" s="782"/>
      <c r="D102" s="782"/>
      <c r="E102" s="782"/>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c r="AK102" s="782"/>
      <c r="AL102" s="782"/>
      <c r="AM102" s="782"/>
      <c r="AN102" s="782"/>
      <c r="AO102" s="782"/>
      <c r="AP102" s="782"/>
      <c r="AQ102" s="782"/>
      <c r="AR102" s="782"/>
      <c r="AS102" s="782"/>
      <c r="AT102" s="782"/>
      <c r="AU102" s="782"/>
      <c r="AV102" s="782"/>
      <c r="AW102" s="782"/>
      <c r="AX102" s="782"/>
      <c r="AY102" s="782"/>
      <c r="AZ102" s="782"/>
      <c r="BA102" s="782"/>
      <c r="BB102" s="782"/>
      <c r="BC102" s="782"/>
    </row>
    <row r="103" spans="1:55" s="45" customFormat="1" x14ac:dyDescent="0.2">
      <c r="A103" s="782"/>
      <c r="B103" s="782"/>
      <c r="C103" s="782"/>
      <c r="D103" s="782"/>
      <c r="E103" s="782"/>
      <c r="F103" s="782"/>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C103" s="782"/>
      <c r="AD103" s="782"/>
      <c r="AE103" s="782"/>
      <c r="AF103" s="782"/>
      <c r="AG103" s="782"/>
      <c r="AH103" s="782"/>
      <c r="AI103" s="782"/>
      <c r="AJ103" s="782"/>
      <c r="AK103" s="782"/>
      <c r="AL103" s="782"/>
      <c r="AM103" s="782"/>
      <c r="AN103" s="782"/>
      <c r="AO103" s="782"/>
      <c r="AP103" s="782"/>
      <c r="AQ103" s="782"/>
      <c r="AR103" s="782"/>
      <c r="AS103" s="782"/>
      <c r="AT103" s="782"/>
      <c r="AU103" s="782"/>
      <c r="AV103" s="782"/>
      <c r="AW103" s="782"/>
      <c r="AX103" s="782"/>
      <c r="AY103" s="782"/>
      <c r="AZ103" s="782"/>
      <c r="BA103" s="782"/>
      <c r="BB103" s="782"/>
      <c r="BC103" s="782"/>
    </row>
    <row r="104" spans="1:55" s="45" customFormat="1" x14ac:dyDescent="0.2">
      <c r="A104" s="782"/>
      <c r="B104" s="782"/>
      <c r="C104" s="782"/>
      <c r="D104" s="782"/>
      <c r="E104" s="782"/>
      <c r="F104" s="782"/>
      <c r="G104" s="782"/>
      <c r="H104" s="782"/>
      <c r="I104" s="782"/>
      <c r="J104" s="782"/>
      <c r="K104" s="782"/>
      <c r="L104" s="782"/>
      <c r="M104" s="782"/>
      <c r="N104" s="782"/>
      <c r="O104" s="782"/>
      <c r="P104" s="782"/>
      <c r="Q104" s="782"/>
      <c r="R104" s="782"/>
      <c r="S104" s="782"/>
      <c r="T104" s="782"/>
      <c r="U104" s="782"/>
      <c r="V104" s="782"/>
      <c r="W104" s="782"/>
      <c r="X104" s="782"/>
      <c r="Y104" s="782"/>
      <c r="Z104" s="782"/>
      <c r="AA104" s="782"/>
      <c r="AB104" s="782"/>
      <c r="AC104" s="782"/>
      <c r="AD104" s="782"/>
      <c r="AE104" s="782"/>
      <c r="AF104" s="782"/>
      <c r="AG104" s="782"/>
      <c r="AH104" s="782"/>
      <c r="AI104" s="782"/>
      <c r="AJ104" s="782"/>
      <c r="AK104" s="782"/>
      <c r="AL104" s="782"/>
      <c r="AM104" s="782"/>
      <c r="AN104" s="782"/>
      <c r="AO104" s="782"/>
      <c r="AP104" s="782"/>
      <c r="AQ104" s="782"/>
      <c r="AR104" s="782"/>
      <c r="AS104" s="782"/>
      <c r="AT104" s="782"/>
      <c r="AU104" s="782"/>
      <c r="AV104" s="782"/>
      <c r="AW104" s="782"/>
      <c r="AX104" s="782"/>
      <c r="AY104" s="782"/>
      <c r="AZ104" s="782"/>
      <c r="BA104" s="782"/>
      <c r="BB104" s="782"/>
      <c r="BC104" s="782"/>
    </row>
    <row r="105" spans="1:55" s="45" customFormat="1" x14ac:dyDescent="0.2">
      <c r="A105" s="782"/>
      <c r="B105" s="782"/>
      <c r="C105" s="782"/>
      <c r="D105" s="782"/>
      <c r="E105" s="782"/>
      <c r="F105" s="782"/>
      <c r="G105" s="782"/>
      <c r="H105" s="782"/>
      <c r="I105" s="782"/>
      <c r="J105" s="782"/>
      <c r="K105" s="782"/>
      <c r="L105" s="782"/>
      <c r="M105" s="782"/>
      <c r="N105" s="782"/>
      <c r="O105" s="782"/>
      <c r="P105" s="782"/>
      <c r="Q105" s="782"/>
      <c r="R105" s="782"/>
      <c r="S105" s="782"/>
      <c r="T105" s="782"/>
      <c r="U105" s="782"/>
      <c r="V105" s="782"/>
      <c r="W105" s="782"/>
      <c r="X105" s="782"/>
      <c r="Y105" s="782"/>
      <c r="Z105" s="782"/>
      <c r="AA105" s="782"/>
      <c r="AB105" s="782"/>
      <c r="AC105" s="782"/>
      <c r="AD105" s="782"/>
      <c r="AE105" s="782"/>
      <c r="AF105" s="782"/>
      <c r="AG105" s="782"/>
      <c r="AH105" s="782"/>
      <c r="AI105" s="782"/>
      <c r="AJ105" s="782"/>
      <c r="AK105" s="782"/>
      <c r="AL105" s="782"/>
      <c r="AM105" s="782"/>
      <c r="AN105" s="782"/>
      <c r="AO105" s="782"/>
      <c r="AP105" s="782"/>
      <c r="AQ105" s="782"/>
      <c r="AR105" s="782"/>
      <c r="AS105" s="782"/>
      <c r="AT105" s="782"/>
      <c r="AU105" s="782"/>
      <c r="AV105" s="782"/>
      <c r="AW105" s="782"/>
      <c r="AX105" s="782"/>
      <c r="AY105" s="782"/>
      <c r="AZ105" s="782"/>
      <c r="BA105" s="782"/>
      <c r="BB105" s="782"/>
      <c r="BC105" s="782"/>
    </row>
    <row r="106" spans="1:55" s="45" customFormat="1" x14ac:dyDescent="0.2">
      <c r="A106" s="782"/>
      <c r="B106" s="782"/>
      <c r="C106" s="782"/>
      <c r="D106" s="782"/>
      <c r="E106" s="782"/>
      <c r="F106" s="782"/>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782"/>
      <c r="AD106" s="782"/>
      <c r="AE106" s="782"/>
      <c r="AF106" s="782"/>
      <c r="AG106" s="782"/>
      <c r="AH106" s="782"/>
      <c r="AI106" s="782"/>
      <c r="AJ106" s="782"/>
      <c r="AK106" s="782"/>
      <c r="AL106" s="782"/>
      <c r="AM106" s="782"/>
      <c r="AN106" s="782"/>
      <c r="AO106" s="782"/>
      <c r="AP106" s="782"/>
      <c r="AQ106" s="782"/>
      <c r="AR106" s="782"/>
      <c r="AS106" s="782"/>
      <c r="AT106" s="782"/>
      <c r="AU106" s="782"/>
      <c r="AV106" s="782"/>
      <c r="AW106" s="782"/>
      <c r="AX106" s="782"/>
      <c r="AY106" s="782"/>
      <c r="AZ106" s="782"/>
      <c r="BA106" s="782"/>
      <c r="BB106" s="782"/>
      <c r="BC106" s="782"/>
    </row>
    <row r="107" spans="1:55" s="45" customFormat="1" x14ac:dyDescent="0.2">
      <c r="A107" s="782"/>
      <c r="B107" s="782"/>
      <c r="C107" s="782"/>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2"/>
      <c r="AI107" s="782"/>
      <c r="AJ107" s="782"/>
      <c r="AK107" s="782"/>
      <c r="AL107" s="782"/>
      <c r="AM107" s="782"/>
      <c r="AN107" s="782"/>
      <c r="AO107" s="782"/>
      <c r="AP107" s="782"/>
      <c r="AQ107" s="782"/>
      <c r="AR107" s="782"/>
      <c r="AS107" s="782"/>
      <c r="AT107" s="782"/>
      <c r="AU107" s="782"/>
      <c r="AV107" s="782"/>
      <c r="AW107" s="782"/>
      <c r="AX107" s="782"/>
      <c r="AY107" s="782"/>
      <c r="AZ107" s="782"/>
      <c r="BA107" s="782"/>
      <c r="BB107" s="782"/>
      <c r="BC107" s="782"/>
    </row>
    <row r="108" spans="1:55" s="45" customFormat="1" x14ac:dyDescent="0.2">
      <c r="A108" s="782"/>
      <c r="B108" s="782"/>
      <c r="C108" s="782"/>
      <c r="D108" s="782"/>
      <c r="E108" s="782"/>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2"/>
      <c r="AE108" s="782"/>
      <c r="AF108" s="782"/>
      <c r="AG108" s="782"/>
      <c r="AH108" s="782"/>
      <c r="AI108" s="782"/>
      <c r="AJ108" s="782"/>
      <c r="AK108" s="782"/>
      <c r="AL108" s="782"/>
      <c r="AM108" s="782"/>
      <c r="AN108" s="782"/>
      <c r="AO108" s="782"/>
      <c r="AP108" s="782"/>
      <c r="AQ108" s="782"/>
      <c r="AR108" s="782"/>
      <c r="AS108" s="782"/>
      <c r="AT108" s="782"/>
      <c r="AU108" s="782"/>
      <c r="AV108" s="782"/>
      <c r="AW108" s="782"/>
      <c r="AX108" s="782"/>
      <c r="AY108" s="782"/>
      <c r="AZ108" s="782"/>
      <c r="BA108" s="782"/>
      <c r="BB108" s="782"/>
      <c r="BC108" s="782"/>
    </row>
    <row r="109" spans="1:55" s="45" customFormat="1" x14ac:dyDescent="0.2">
      <c r="A109" s="782"/>
      <c r="B109" s="782"/>
      <c r="C109" s="782"/>
      <c r="D109" s="782"/>
      <c r="E109" s="782"/>
      <c r="F109" s="782"/>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C109" s="782"/>
      <c r="AD109" s="782"/>
      <c r="AE109" s="782"/>
      <c r="AF109" s="782"/>
      <c r="AG109" s="782"/>
      <c r="AH109" s="782"/>
      <c r="AI109" s="782"/>
      <c r="AJ109" s="782"/>
      <c r="AK109" s="782"/>
      <c r="AL109" s="782"/>
      <c r="AM109" s="782"/>
      <c r="AN109" s="782"/>
      <c r="AO109" s="782"/>
      <c r="AP109" s="782"/>
      <c r="AQ109" s="782"/>
      <c r="AR109" s="782"/>
      <c r="AS109" s="782"/>
      <c r="AT109" s="782"/>
      <c r="AU109" s="782"/>
      <c r="AV109" s="782"/>
      <c r="AW109" s="782"/>
      <c r="AX109" s="782"/>
      <c r="AY109" s="782"/>
      <c r="AZ109" s="782"/>
      <c r="BA109" s="782"/>
      <c r="BB109" s="782"/>
      <c r="BC109" s="782"/>
    </row>
    <row r="110" spans="1:55" s="45" customFormat="1" x14ac:dyDescent="0.2">
      <c r="A110" s="782"/>
      <c r="B110" s="782"/>
      <c r="C110" s="782"/>
      <c r="D110" s="782"/>
      <c r="E110" s="782"/>
      <c r="F110" s="782"/>
      <c r="G110" s="782"/>
      <c r="H110" s="782"/>
      <c r="I110" s="782"/>
      <c r="J110" s="782"/>
      <c r="K110" s="782"/>
      <c r="L110" s="782"/>
      <c r="M110" s="782"/>
      <c r="N110" s="782"/>
      <c r="O110" s="782"/>
      <c r="P110" s="782"/>
      <c r="Q110" s="782"/>
      <c r="R110" s="782"/>
      <c r="S110" s="782"/>
      <c r="T110" s="782"/>
      <c r="U110" s="782"/>
      <c r="V110" s="782"/>
      <c r="W110" s="782"/>
      <c r="X110" s="782"/>
      <c r="Y110" s="782"/>
      <c r="Z110" s="782"/>
      <c r="AA110" s="782"/>
      <c r="AB110" s="782"/>
      <c r="AC110" s="782"/>
      <c r="AD110" s="782"/>
      <c r="AE110" s="782"/>
      <c r="AF110" s="782"/>
      <c r="AG110" s="782"/>
      <c r="AH110" s="782"/>
      <c r="AI110" s="782"/>
      <c r="AJ110" s="782"/>
      <c r="AK110" s="782"/>
      <c r="AL110" s="782"/>
      <c r="AM110" s="782"/>
      <c r="AN110" s="782"/>
      <c r="AO110" s="782"/>
      <c r="AP110" s="782"/>
      <c r="AQ110" s="782"/>
      <c r="AR110" s="782"/>
      <c r="AS110" s="782"/>
      <c r="AT110" s="782"/>
      <c r="AU110" s="782"/>
      <c r="AV110" s="782"/>
      <c r="AW110" s="782"/>
      <c r="AX110" s="782"/>
      <c r="AY110" s="782"/>
      <c r="AZ110" s="782"/>
      <c r="BA110" s="782"/>
      <c r="BB110" s="782"/>
      <c r="BC110" s="782"/>
    </row>
    <row r="111" spans="1:55" s="45" customFormat="1" x14ac:dyDescent="0.2">
      <c r="A111" s="782"/>
      <c r="B111" s="782"/>
      <c r="C111" s="782"/>
      <c r="D111" s="782"/>
      <c r="E111" s="782"/>
      <c r="F111" s="782"/>
      <c r="G111" s="782"/>
      <c r="H111" s="782"/>
      <c r="I111" s="782"/>
      <c r="J111" s="782"/>
      <c r="K111" s="782"/>
      <c r="L111" s="782"/>
      <c r="M111" s="782"/>
      <c r="N111" s="782"/>
      <c r="O111" s="782"/>
      <c r="P111" s="782"/>
      <c r="Q111" s="782"/>
      <c r="R111" s="782"/>
      <c r="S111" s="782"/>
      <c r="T111" s="782"/>
      <c r="U111" s="782"/>
      <c r="V111" s="782"/>
      <c r="W111" s="782"/>
      <c r="X111" s="782"/>
      <c r="Y111" s="782"/>
      <c r="Z111" s="782"/>
      <c r="AA111" s="782"/>
      <c r="AB111" s="782"/>
      <c r="AC111" s="782"/>
      <c r="AD111" s="782"/>
      <c r="AE111" s="782"/>
      <c r="AF111" s="782"/>
      <c r="AG111" s="782"/>
      <c r="AH111" s="782"/>
      <c r="AI111" s="782"/>
      <c r="AJ111" s="782"/>
      <c r="AK111" s="782"/>
      <c r="AL111" s="782"/>
      <c r="AM111" s="782"/>
      <c r="AN111" s="782"/>
      <c r="AO111" s="782"/>
      <c r="AP111" s="782"/>
      <c r="AQ111" s="782"/>
      <c r="AR111" s="782"/>
      <c r="AS111" s="782"/>
      <c r="AT111" s="782"/>
      <c r="AU111" s="782"/>
      <c r="AV111" s="782"/>
      <c r="AW111" s="782"/>
      <c r="AX111" s="782"/>
      <c r="AY111" s="782"/>
      <c r="AZ111" s="782"/>
      <c r="BA111" s="782"/>
      <c r="BB111" s="782"/>
      <c r="BC111" s="782"/>
    </row>
    <row r="112" spans="1:55" s="45" customFormat="1" x14ac:dyDescent="0.2">
      <c r="A112" s="782"/>
      <c r="B112" s="782"/>
      <c r="C112" s="782"/>
      <c r="D112" s="782"/>
      <c r="E112" s="782"/>
      <c r="F112" s="782"/>
      <c r="G112" s="782"/>
      <c r="H112" s="782"/>
      <c r="I112" s="782"/>
      <c r="J112" s="782"/>
      <c r="K112" s="782"/>
      <c r="L112" s="782"/>
      <c r="M112" s="782"/>
      <c r="N112" s="782"/>
      <c r="O112" s="782"/>
      <c r="P112" s="782"/>
      <c r="Q112" s="782"/>
      <c r="R112" s="782"/>
      <c r="S112" s="782"/>
      <c r="T112" s="782"/>
      <c r="U112" s="782"/>
      <c r="V112" s="782"/>
      <c r="W112" s="782"/>
      <c r="X112" s="782"/>
      <c r="Y112" s="782"/>
      <c r="Z112" s="782"/>
      <c r="AA112" s="782"/>
      <c r="AB112" s="782"/>
      <c r="AC112" s="782"/>
      <c r="AD112" s="782"/>
      <c r="AE112" s="782"/>
      <c r="AF112" s="782"/>
      <c r="AG112" s="782"/>
      <c r="AH112" s="782"/>
      <c r="AI112" s="782"/>
      <c r="AJ112" s="782"/>
      <c r="AK112" s="782"/>
      <c r="AL112" s="782"/>
      <c r="AM112" s="782"/>
      <c r="AN112" s="782"/>
      <c r="AO112" s="782"/>
      <c r="AP112" s="782"/>
      <c r="AQ112" s="782"/>
      <c r="AR112" s="782"/>
      <c r="AS112" s="782"/>
      <c r="AT112" s="782"/>
      <c r="AU112" s="782"/>
      <c r="AV112" s="782"/>
      <c r="AW112" s="782"/>
      <c r="AX112" s="782"/>
      <c r="AY112" s="782"/>
      <c r="AZ112" s="782"/>
      <c r="BA112" s="782"/>
      <c r="BB112" s="782"/>
      <c r="BC112" s="782"/>
    </row>
    <row r="113" spans="1:55" s="45" customFormat="1" x14ac:dyDescent="0.2">
      <c r="A113" s="782"/>
      <c r="B113" s="782"/>
      <c r="C113" s="782"/>
      <c r="D113" s="782"/>
      <c r="E113" s="782"/>
      <c r="F113" s="782"/>
      <c r="G113" s="782"/>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2"/>
      <c r="AI113" s="782"/>
      <c r="AJ113" s="782"/>
      <c r="AK113" s="782"/>
      <c r="AL113" s="782"/>
      <c r="AM113" s="782"/>
      <c r="AN113" s="782"/>
      <c r="AO113" s="782"/>
      <c r="AP113" s="782"/>
      <c r="AQ113" s="782"/>
      <c r="AR113" s="782"/>
      <c r="AS113" s="782"/>
      <c r="AT113" s="782"/>
      <c r="AU113" s="782"/>
      <c r="AV113" s="782"/>
      <c r="AW113" s="782"/>
      <c r="AX113" s="782"/>
      <c r="AY113" s="782"/>
      <c r="AZ113" s="782"/>
      <c r="BA113" s="782"/>
      <c r="BB113" s="782"/>
      <c r="BC113" s="782"/>
    </row>
    <row r="114" spans="1:55" s="45" customFormat="1" x14ac:dyDescent="0.2">
      <c r="A114" s="782"/>
      <c r="B114" s="782"/>
      <c r="C114" s="782"/>
      <c r="D114" s="782"/>
      <c r="E114" s="782"/>
      <c r="F114" s="782"/>
      <c r="G114" s="782"/>
      <c r="H114" s="782"/>
      <c r="I114" s="782"/>
      <c r="J114" s="782"/>
      <c r="K114" s="782"/>
      <c r="L114" s="782"/>
      <c r="M114" s="782"/>
      <c r="N114" s="782"/>
      <c r="O114" s="782"/>
      <c r="P114" s="782"/>
      <c r="Q114" s="782"/>
      <c r="R114" s="782"/>
      <c r="S114" s="782"/>
      <c r="T114" s="782"/>
      <c r="U114" s="782"/>
      <c r="V114" s="782"/>
      <c r="W114" s="782"/>
      <c r="X114" s="782"/>
      <c r="Y114" s="782"/>
      <c r="Z114" s="782"/>
      <c r="AA114" s="782"/>
      <c r="AB114" s="782"/>
      <c r="AC114" s="782"/>
      <c r="AD114" s="782"/>
      <c r="AE114" s="782"/>
      <c r="AF114" s="782"/>
      <c r="AG114" s="782"/>
      <c r="AH114" s="782"/>
      <c r="AI114" s="782"/>
      <c r="AJ114" s="782"/>
      <c r="AK114" s="782"/>
      <c r="AL114" s="782"/>
      <c r="AM114" s="782"/>
      <c r="AN114" s="782"/>
      <c r="AO114" s="782"/>
      <c r="AP114" s="782"/>
      <c r="AQ114" s="782"/>
      <c r="AR114" s="782"/>
      <c r="AS114" s="782"/>
      <c r="AT114" s="782"/>
      <c r="AU114" s="782"/>
      <c r="AV114" s="782"/>
      <c r="AW114" s="782"/>
      <c r="AX114" s="782"/>
      <c r="AY114" s="782"/>
      <c r="AZ114" s="782"/>
      <c r="BA114" s="782"/>
      <c r="BB114" s="782"/>
      <c r="BC114" s="782"/>
    </row>
    <row r="115" spans="1:55" s="45" customFormat="1" x14ac:dyDescent="0.2">
      <c r="A115" s="782"/>
      <c r="B115" s="782"/>
      <c r="C115" s="782"/>
      <c r="D115" s="782"/>
      <c r="E115" s="782"/>
      <c r="F115" s="782"/>
      <c r="G115" s="782"/>
      <c r="H115" s="782"/>
      <c r="I115" s="782"/>
      <c r="J115" s="782"/>
      <c r="K115" s="782"/>
      <c r="L115" s="782"/>
      <c r="M115" s="782"/>
      <c r="N115" s="782"/>
      <c r="O115" s="782"/>
      <c r="P115" s="782"/>
      <c r="Q115" s="782"/>
      <c r="R115" s="782"/>
      <c r="S115" s="782"/>
      <c r="T115" s="782"/>
      <c r="U115" s="782"/>
      <c r="V115" s="782"/>
      <c r="W115" s="782"/>
      <c r="X115" s="782"/>
      <c r="Y115" s="782"/>
      <c r="Z115" s="782"/>
      <c r="AA115" s="782"/>
      <c r="AB115" s="782"/>
      <c r="AC115" s="782"/>
      <c r="AD115" s="782"/>
      <c r="AE115" s="782"/>
      <c r="AF115" s="782"/>
      <c r="AG115" s="782"/>
      <c r="AH115" s="782"/>
      <c r="AI115" s="782"/>
      <c r="AJ115" s="782"/>
      <c r="AK115" s="782"/>
      <c r="AL115" s="782"/>
      <c r="AM115" s="782"/>
      <c r="AN115" s="782"/>
      <c r="AO115" s="782"/>
      <c r="AP115" s="782"/>
      <c r="AQ115" s="782"/>
      <c r="AR115" s="782"/>
      <c r="AS115" s="782"/>
      <c r="AT115" s="782"/>
      <c r="AU115" s="782"/>
      <c r="AV115" s="782"/>
      <c r="AW115" s="782"/>
      <c r="AX115" s="782"/>
      <c r="AY115" s="782"/>
      <c r="AZ115" s="782"/>
      <c r="BA115" s="782"/>
      <c r="BB115" s="782"/>
      <c r="BC115" s="782"/>
    </row>
    <row r="116" spans="1:55" s="45" customFormat="1" x14ac:dyDescent="0.2">
      <c r="A116" s="782"/>
      <c r="B116" s="782"/>
      <c r="C116" s="782"/>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2"/>
      <c r="AI116" s="782"/>
      <c r="AJ116" s="782"/>
      <c r="AK116" s="782"/>
      <c r="AL116" s="782"/>
      <c r="AM116" s="782"/>
      <c r="AN116" s="782"/>
      <c r="AO116" s="782"/>
      <c r="AP116" s="782"/>
      <c r="AQ116" s="782"/>
      <c r="AR116" s="782"/>
      <c r="AS116" s="782"/>
      <c r="AT116" s="782"/>
      <c r="AU116" s="782"/>
      <c r="AV116" s="782"/>
      <c r="AW116" s="782"/>
      <c r="AX116" s="782"/>
      <c r="AY116" s="782"/>
      <c r="AZ116" s="782"/>
      <c r="BA116" s="782"/>
      <c r="BB116" s="782"/>
      <c r="BC116" s="782"/>
    </row>
    <row r="117" spans="1:55" s="45" customFormat="1" x14ac:dyDescent="0.2">
      <c r="A117" s="782"/>
      <c r="B117" s="782"/>
      <c r="C117" s="782"/>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782"/>
      <c r="AE117" s="782"/>
      <c r="AF117" s="782"/>
      <c r="AG117" s="782"/>
      <c r="AH117" s="782"/>
      <c r="AI117" s="782"/>
      <c r="AJ117" s="782"/>
      <c r="AK117" s="782"/>
      <c r="AL117" s="782"/>
      <c r="AM117" s="782"/>
      <c r="AN117" s="782"/>
      <c r="AO117" s="782"/>
      <c r="AP117" s="782"/>
      <c r="AQ117" s="782"/>
      <c r="AR117" s="782"/>
      <c r="AS117" s="782"/>
      <c r="AT117" s="782"/>
      <c r="AU117" s="782"/>
      <c r="AV117" s="782"/>
      <c r="AW117" s="782"/>
      <c r="AX117" s="782"/>
      <c r="AY117" s="782"/>
      <c r="AZ117" s="782"/>
      <c r="BA117" s="782"/>
      <c r="BB117" s="782"/>
      <c r="BC117" s="782"/>
    </row>
    <row r="118" spans="1:55" s="45" customFormat="1" x14ac:dyDescent="0.2">
      <c r="A118" s="782"/>
      <c r="B118" s="782"/>
      <c r="C118" s="782"/>
      <c r="D118" s="782"/>
      <c r="E118" s="782"/>
      <c r="F118" s="782"/>
      <c r="G118" s="782"/>
      <c r="H118" s="782"/>
      <c r="I118" s="782"/>
      <c r="J118" s="782"/>
      <c r="K118" s="782"/>
      <c r="L118" s="782"/>
      <c r="M118" s="782"/>
      <c r="N118" s="782"/>
      <c r="O118" s="782"/>
      <c r="P118" s="782"/>
      <c r="Q118" s="782"/>
      <c r="R118" s="782"/>
      <c r="S118" s="782"/>
      <c r="T118" s="782"/>
      <c r="U118" s="782"/>
      <c r="V118" s="782"/>
      <c r="W118" s="782"/>
      <c r="X118" s="782"/>
      <c r="Y118" s="782"/>
      <c r="Z118" s="782"/>
      <c r="AA118" s="782"/>
      <c r="AB118" s="782"/>
      <c r="AC118" s="782"/>
      <c r="AD118" s="782"/>
      <c r="AE118" s="782"/>
      <c r="AF118" s="782"/>
      <c r="AG118" s="782"/>
      <c r="AH118" s="782"/>
      <c r="AI118" s="782"/>
      <c r="AJ118" s="782"/>
      <c r="AK118" s="782"/>
      <c r="AL118" s="782"/>
      <c r="AM118" s="782"/>
      <c r="AN118" s="782"/>
      <c r="AO118" s="782"/>
      <c r="AP118" s="782"/>
      <c r="AQ118" s="782"/>
      <c r="AR118" s="782"/>
      <c r="AS118" s="782"/>
      <c r="AT118" s="782"/>
      <c r="AU118" s="782"/>
      <c r="AV118" s="782"/>
      <c r="AW118" s="782"/>
      <c r="AX118" s="782"/>
      <c r="AY118" s="782"/>
      <c r="AZ118" s="782"/>
      <c r="BA118" s="782"/>
      <c r="BB118" s="782"/>
      <c r="BC118" s="782"/>
    </row>
    <row r="119" spans="1:55" s="45" customFormat="1" x14ac:dyDescent="0.2">
      <c r="A119" s="782"/>
      <c r="B119" s="782"/>
      <c r="C119" s="782"/>
      <c r="D119" s="782"/>
      <c r="E119" s="782"/>
      <c r="F119" s="782"/>
      <c r="G119" s="782"/>
      <c r="H119" s="782"/>
      <c r="I119" s="782"/>
      <c r="J119" s="782"/>
      <c r="K119" s="78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c r="AK119" s="782"/>
      <c r="AL119" s="782"/>
      <c r="AM119" s="782"/>
      <c r="AN119" s="782"/>
      <c r="AO119" s="782"/>
      <c r="AP119" s="782"/>
      <c r="AQ119" s="782"/>
      <c r="AR119" s="782"/>
      <c r="AS119" s="782"/>
      <c r="AT119" s="782"/>
      <c r="AU119" s="782"/>
      <c r="AV119" s="782"/>
      <c r="AW119" s="782"/>
      <c r="AX119" s="782"/>
      <c r="AY119" s="782"/>
      <c r="AZ119" s="782"/>
      <c r="BA119" s="782"/>
      <c r="BB119" s="782"/>
      <c r="BC119" s="782"/>
    </row>
    <row r="120" spans="1:55" s="45" customFormat="1" x14ac:dyDescent="0.2">
      <c r="A120" s="782"/>
      <c r="B120" s="782"/>
      <c r="C120" s="782"/>
      <c r="D120" s="782"/>
      <c r="E120" s="782"/>
      <c r="F120" s="782"/>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c r="AK120" s="782"/>
      <c r="AL120" s="782"/>
      <c r="AM120" s="782"/>
      <c r="AN120" s="782"/>
      <c r="AO120" s="782"/>
      <c r="AP120" s="782"/>
      <c r="AQ120" s="782"/>
      <c r="AR120" s="782"/>
      <c r="AS120" s="782"/>
      <c r="AT120" s="782"/>
      <c r="AU120" s="782"/>
      <c r="AV120" s="782"/>
      <c r="AW120" s="782"/>
      <c r="AX120" s="782"/>
      <c r="AY120" s="782"/>
      <c r="AZ120" s="782"/>
      <c r="BA120" s="782"/>
      <c r="BB120" s="782"/>
      <c r="BC120" s="782"/>
    </row>
    <row r="121" spans="1:55" s="45" customFormat="1" x14ac:dyDescent="0.2">
      <c r="A121" s="782"/>
      <c r="B121" s="782"/>
      <c r="C121" s="782"/>
      <c r="D121" s="782"/>
      <c r="E121" s="782"/>
      <c r="F121" s="782"/>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c r="AK121" s="782"/>
      <c r="AL121" s="782"/>
      <c r="AM121" s="782"/>
      <c r="AN121" s="782"/>
      <c r="AO121" s="782"/>
      <c r="AP121" s="782"/>
      <c r="AQ121" s="782"/>
      <c r="AR121" s="782"/>
      <c r="AS121" s="782"/>
      <c r="AT121" s="782"/>
      <c r="AU121" s="782"/>
      <c r="AV121" s="782"/>
      <c r="AW121" s="782"/>
      <c r="AX121" s="782"/>
      <c r="AY121" s="782"/>
      <c r="AZ121" s="782"/>
      <c r="BA121" s="782"/>
      <c r="BB121" s="782"/>
      <c r="BC121" s="782"/>
    </row>
    <row r="122" spans="1:55" s="45" customFormat="1" x14ac:dyDescent="0.2">
      <c r="A122" s="782"/>
      <c r="B122" s="782"/>
      <c r="C122" s="782"/>
      <c r="D122" s="782"/>
      <c r="E122" s="782"/>
      <c r="F122" s="782"/>
      <c r="G122" s="782"/>
      <c r="H122" s="782"/>
      <c r="I122" s="782"/>
      <c r="J122" s="782"/>
      <c r="K122" s="782"/>
      <c r="L122" s="782"/>
      <c r="M122" s="782"/>
      <c r="N122" s="782"/>
      <c r="O122" s="782"/>
      <c r="P122" s="782"/>
      <c r="Q122" s="782"/>
      <c r="R122" s="782"/>
      <c r="S122" s="782"/>
      <c r="T122" s="782"/>
      <c r="U122" s="782"/>
      <c r="V122" s="782"/>
      <c r="W122" s="782"/>
      <c r="X122" s="782"/>
      <c r="Y122" s="782"/>
      <c r="Z122" s="782"/>
      <c r="AA122" s="782"/>
      <c r="AB122" s="782"/>
      <c r="AC122" s="782"/>
      <c r="AD122" s="782"/>
      <c r="AE122" s="782"/>
      <c r="AF122" s="782"/>
      <c r="AG122" s="782"/>
      <c r="AH122" s="782"/>
      <c r="AI122" s="782"/>
      <c r="AJ122" s="782"/>
      <c r="AK122" s="782"/>
      <c r="AL122" s="782"/>
      <c r="AM122" s="782"/>
      <c r="AN122" s="782"/>
      <c r="AO122" s="782"/>
      <c r="AP122" s="782"/>
      <c r="AQ122" s="782"/>
      <c r="AR122" s="782"/>
      <c r="AS122" s="782"/>
      <c r="AT122" s="782"/>
      <c r="AU122" s="782"/>
      <c r="AV122" s="782"/>
      <c r="AW122" s="782"/>
      <c r="AX122" s="782"/>
      <c r="AY122" s="782"/>
      <c r="AZ122" s="782"/>
      <c r="BA122" s="782"/>
      <c r="BB122" s="782"/>
      <c r="BC122" s="782"/>
    </row>
    <row r="123" spans="1:55" s="45" customFormat="1" x14ac:dyDescent="0.2">
      <c r="A123" s="782"/>
      <c r="B123" s="782"/>
      <c r="C123" s="782"/>
      <c r="D123" s="782"/>
      <c r="E123" s="782"/>
      <c r="F123" s="782"/>
      <c r="G123" s="782"/>
      <c r="H123" s="782"/>
      <c r="I123" s="782"/>
      <c r="J123" s="782"/>
      <c r="K123" s="782"/>
      <c r="L123" s="782"/>
      <c r="M123" s="782"/>
      <c r="N123" s="782"/>
      <c r="O123" s="782"/>
      <c r="P123" s="782"/>
      <c r="Q123" s="782"/>
      <c r="R123" s="782"/>
      <c r="S123" s="782"/>
      <c r="T123" s="782"/>
      <c r="U123" s="782"/>
      <c r="V123" s="782"/>
      <c r="W123" s="782"/>
      <c r="X123" s="782"/>
      <c r="Y123" s="782"/>
      <c r="Z123" s="782"/>
      <c r="AA123" s="782"/>
      <c r="AB123" s="782"/>
      <c r="AC123" s="782"/>
      <c r="AD123" s="782"/>
      <c r="AE123" s="782"/>
      <c r="AF123" s="782"/>
      <c r="AG123" s="782"/>
      <c r="AH123" s="782"/>
      <c r="AI123" s="782"/>
      <c r="AJ123" s="782"/>
      <c r="AK123" s="782"/>
      <c r="AL123" s="782"/>
      <c r="AM123" s="782"/>
      <c r="AN123" s="782"/>
      <c r="AO123" s="782"/>
      <c r="AP123" s="782"/>
      <c r="AQ123" s="782"/>
      <c r="AR123" s="782"/>
      <c r="AS123" s="782"/>
      <c r="AT123" s="782"/>
      <c r="AU123" s="782"/>
      <c r="AV123" s="782"/>
      <c r="AW123" s="782"/>
      <c r="AX123" s="782"/>
      <c r="AY123" s="782"/>
      <c r="AZ123" s="782"/>
      <c r="BA123" s="782"/>
      <c r="BB123" s="782"/>
      <c r="BC123" s="782"/>
    </row>
    <row r="124" spans="1:55" s="45" customFormat="1" x14ac:dyDescent="0.2">
      <c r="A124" s="782"/>
      <c r="B124" s="782"/>
      <c r="C124" s="782"/>
      <c r="D124" s="782"/>
      <c r="E124" s="782"/>
      <c r="F124" s="782"/>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782"/>
      <c r="AC124" s="782"/>
      <c r="AD124" s="782"/>
      <c r="AE124" s="782"/>
      <c r="AF124" s="782"/>
      <c r="AG124" s="782"/>
      <c r="AH124" s="782"/>
      <c r="AI124" s="782"/>
      <c r="AJ124" s="782"/>
      <c r="AK124" s="782"/>
      <c r="AL124" s="782"/>
      <c r="AM124" s="782"/>
      <c r="AN124" s="782"/>
      <c r="AO124" s="782"/>
      <c r="AP124" s="782"/>
      <c r="AQ124" s="782"/>
      <c r="AR124" s="782"/>
      <c r="AS124" s="782"/>
      <c r="AT124" s="782"/>
      <c r="AU124" s="782"/>
      <c r="AV124" s="782"/>
      <c r="AW124" s="782"/>
      <c r="AX124" s="782"/>
      <c r="AY124" s="782"/>
      <c r="AZ124" s="782"/>
      <c r="BA124" s="782"/>
      <c r="BB124" s="782"/>
      <c r="BC124" s="782"/>
    </row>
    <row r="125" spans="1:55" s="45" customFormat="1" x14ac:dyDescent="0.2">
      <c r="A125" s="782"/>
      <c r="B125" s="782"/>
      <c r="C125" s="782"/>
      <c r="D125" s="782"/>
      <c r="E125" s="782"/>
      <c r="F125" s="782"/>
      <c r="G125" s="782"/>
      <c r="H125" s="782"/>
      <c r="I125" s="782"/>
      <c r="J125" s="782"/>
      <c r="K125" s="782"/>
      <c r="L125" s="782"/>
      <c r="M125" s="782"/>
      <c r="N125" s="782"/>
      <c r="O125" s="782"/>
      <c r="P125" s="782"/>
      <c r="Q125" s="782"/>
      <c r="R125" s="782"/>
      <c r="S125" s="782"/>
      <c r="T125" s="782"/>
      <c r="U125" s="782"/>
      <c r="V125" s="782"/>
      <c r="W125" s="782"/>
      <c r="X125" s="782"/>
      <c r="Y125" s="782"/>
      <c r="Z125" s="782"/>
      <c r="AA125" s="782"/>
      <c r="AB125" s="782"/>
      <c r="AC125" s="782"/>
      <c r="AD125" s="782"/>
      <c r="AE125" s="782"/>
      <c r="AF125" s="782"/>
      <c r="AG125" s="782"/>
      <c r="AH125" s="782"/>
      <c r="AI125" s="782"/>
      <c r="AJ125" s="782"/>
      <c r="AK125" s="782"/>
      <c r="AL125" s="782"/>
      <c r="AM125" s="782"/>
      <c r="AN125" s="782"/>
      <c r="AO125" s="782"/>
      <c r="AP125" s="782"/>
      <c r="AQ125" s="782"/>
      <c r="AR125" s="782"/>
      <c r="AS125" s="782"/>
      <c r="AT125" s="782"/>
      <c r="AU125" s="782"/>
      <c r="AV125" s="782"/>
      <c r="AW125" s="782"/>
      <c r="AX125" s="782"/>
      <c r="AY125" s="782"/>
      <c r="AZ125" s="782"/>
      <c r="BA125" s="782"/>
      <c r="BB125" s="782"/>
      <c r="BC125" s="782"/>
    </row>
    <row r="126" spans="1:55" s="45" customFormat="1" x14ac:dyDescent="0.2">
      <c r="A126" s="782"/>
      <c r="B126" s="782"/>
      <c r="C126" s="782"/>
      <c r="D126" s="782"/>
      <c r="E126" s="782"/>
      <c r="F126" s="782"/>
      <c r="G126" s="782"/>
      <c r="H126" s="782"/>
      <c r="I126" s="782"/>
      <c r="J126" s="782"/>
      <c r="K126" s="782"/>
      <c r="L126" s="782"/>
      <c r="M126" s="782"/>
      <c r="N126" s="782"/>
      <c r="O126" s="782"/>
      <c r="P126" s="782"/>
      <c r="Q126" s="782"/>
      <c r="R126" s="782"/>
      <c r="S126" s="782"/>
      <c r="T126" s="782"/>
      <c r="U126" s="782"/>
      <c r="V126" s="782"/>
      <c r="W126" s="782"/>
      <c r="X126" s="782"/>
      <c r="Y126" s="782"/>
      <c r="Z126" s="782"/>
      <c r="AA126" s="782"/>
      <c r="AB126" s="782"/>
      <c r="AC126" s="782"/>
      <c r="AD126" s="782"/>
      <c r="AE126" s="782"/>
      <c r="AF126" s="782"/>
      <c r="AG126" s="782"/>
      <c r="AH126" s="782"/>
      <c r="AI126" s="782"/>
      <c r="AJ126" s="782"/>
      <c r="AK126" s="782"/>
      <c r="AL126" s="782"/>
      <c r="AM126" s="782"/>
      <c r="AN126" s="782"/>
      <c r="AO126" s="782"/>
      <c r="AP126" s="782"/>
      <c r="AQ126" s="782"/>
      <c r="AR126" s="782"/>
      <c r="AS126" s="782"/>
      <c r="AT126" s="782"/>
      <c r="AU126" s="782"/>
      <c r="AV126" s="782"/>
      <c r="AW126" s="782"/>
      <c r="AX126" s="782"/>
      <c r="AY126" s="782"/>
      <c r="AZ126" s="782"/>
      <c r="BA126" s="782"/>
      <c r="BB126" s="782"/>
      <c r="BC126" s="782"/>
    </row>
    <row r="127" spans="1:55" s="45" customFormat="1" x14ac:dyDescent="0.2">
      <c r="A127" s="782"/>
      <c r="B127" s="782"/>
      <c r="C127" s="782"/>
      <c r="D127" s="782"/>
      <c r="E127" s="782"/>
      <c r="F127" s="782"/>
      <c r="G127" s="782"/>
      <c r="H127" s="782"/>
      <c r="I127" s="782"/>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c r="AK127" s="782"/>
      <c r="AL127" s="782"/>
      <c r="AM127" s="782"/>
      <c r="AN127" s="782"/>
      <c r="AO127" s="782"/>
      <c r="AP127" s="782"/>
      <c r="AQ127" s="782"/>
      <c r="AR127" s="782"/>
      <c r="AS127" s="782"/>
      <c r="AT127" s="782"/>
      <c r="AU127" s="782"/>
      <c r="AV127" s="782"/>
      <c r="AW127" s="782"/>
      <c r="AX127" s="782"/>
      <c r="AY127" s="782"/>
      <c r="AZ127" s="782"/>
      <c r="BA127" s="782"/>
      <c r="BB127" s="782"/>
      <c r="BC127" s="782"/>
    </row>
    <row r="128" spans="1:55" s="45" customFormat="1" x14ac:dyDescent="0.2">
      <c r="A128" s="782"/>
      <c r="B128" s="782"/>
      <c r="C128" s="782"/>
      <c r="D128" s="782"/>
      <c r="E128" s="782"/>
      <c r="F128" s="782"/>
      <c r="G128" s="782"/>
      <c r="H128" s="782"/>
      <c r="I128" s="782"/>
      <c r="J128" s="782"/>
      <c r="K128" s="782"/>
      <c r="L128" s="782"/>
      <c r="M128" s="782"/>
      <c r="N128" s="782"/>
      <c r="O128" s="782"/>
      <c r="P128" s="782"/>
      <c r="Q128" s="782"/>
      <c r="R128" s="782"/>
      <c r="S128" s="782"/>
      <c r="T128" s="782"/>
      <c r="U128" s="782"/>
      <c r="V128" s="782"/>
      <c r="W128" s="782"/>
      <c r="X128" s="782"/>
      <c r="Y128" s="782"/>
      <c r="Z128" s="782"/>
      <c r="AA128" s="782"/>
      <c r="AB128" s="782"/>
      <c r="AC128" s="782"/>
      <c r="AD128" s="782"/>
      <c r="AE128" s="782"/>
      <c r="AF128" s="782"/>
      <c r="AG128" s="782"/>
      <c r="AH128" s="782"/>
      <c r="AI128" s="782"/>
      <c r="AJ128" s="782"/>
      <c r="AK128" s="782"/>
      <c r="AL128" s="782"/>
      <c r="AM128" s="782"/>
      <c r="AN128" s="782"/>
      <c r="AO128" s="782"/>
      <c r="AP128" s="782"/>
      <c r="AQ128" s="782"/>
      <c r="AR128" s="782"/>
      <c r="AS128" s="782"/>
      <c r="AT128" s="782"/>
      <c r="AU128" s="782"/>
      <c r="AV128" s="782"/>
      <c r="AW128" s="782"/>
      <c r="AX128" s="782"/>
      <c r="AY128" s="782"/>
      <c r="AZ128" s="782"/>
      <c r="BA128" s="782"/>
      <c r="BB128" s="782"/>
      <c r="BC128" s="782"/>
    </row>
    <row r="129" spans="1:55" s="45" customFormat="1" x14ac:dyDescent="0.2">
      <c r="A129" s="782"/>
      <c r="B129" s="782"/>
      <c r="C129" s="782"/>
      <c r="D129" s="782"/>
      <c r="E129" s="782"/>
      <c r="F129" s="782"/>
      <c r="G129" s="782"/>
      <c r="H129" s="782"/>
      <c r="I129" s="782"/>
      <c r="J129" s="782"/>
      <c r="K129" s="782"/>
      <c r="L129" s="782"/>
      <c r="M129" s="782"/>
      <c r="N129" s="782"/>
      <c r="O129" s="782"/>
      <c r="P129" s="782"/>
      <c r="Q129" s="782"/>
      <c r="R129" s="782"/>
      <c r="S129" s="782"/>
      <c r="T129" s="782"/>
      <c r="U129" s="782"/>
      <c r="V129" s="782"/>
      <c r="W129" s="782"/>
      <c r="X129" s="782"/>
      <c r="Y129" s="782"/>
      <c r="Z129" s="782"/>
      <c r="AA129" s="782"/>
      <c r="AB129" s="782"/>
      <c r="AC129" s="782"/>
      <c r="AD129" s="782"/>
      <c r="AE129" s="782"/>
      <c r="AF129" s="782"/>
      <c r="AG129" s="782"/>
      <c r="AH129" s="782"/>
      <c r="AI129" s="782"/>
      <c r="AJ129" s="782"/>
      <c r="AK129" s="782"/>
      <c r="AL129" s="782"/>
      <c r="AM129" s="782"/>
      <c r="AN129" s="782"/>
      <c r="AO129" s="782"/>
      <c r="AP129" s="782"/>
      <c r="AQ129" s="782"/>
      <c r="AR129" s="782"/>
      <c r="AS129" s="782"/>
      <c r="AT129" s="782"/>
      <c r="AU129" s="782"/>
      <c r="AV129" s="782"/>
      <c r="AW129" s="782"/>
      <c r="AX129" s="782"/>
      <c r="AY129" s="782"/>
      <c r="AZ129" s="782"/>
      <c r="BA129" s="782"/>
      <c r="BB129" s="782"/>
      <c r="BC129" s="782"/>
    </row>
    <row r="130" spans="1:55" s="45" customFormat="1" x14ac:dyDescent="0.2">
      <c r="A130" s="782"/>
      <c r="B130" s="782"/>
      <c r="C130" s="782"/>
      <c r="D130" s="782"/>
      <c r="E130" s="782"/>
      <c r="F130" s="782"/>
      <c r="G130" s="782"/>
      <c r="H130" s="782"/>
      <c r="I130" s="782"/>
      <c r="J130" s="782"/>
      <c r="K130" s="782"/>
      <c r="L130" s="782"/>
      <c r="M130" s="782"/>
      <c r="N130" s="782"/>
      <c r="O130" s="782"/>
      <c r="P130" s="782"/>
      <c r="Q130" s="782"/>
      <c r="R130" s="782"/>
      <c r="S130" s="782"/>
      <c r="T130" s="782"/>
      <c r="U130" s="782"/>
      <c r="V130" s="782"/>
      <c r="W130" s="782"/>
      <c r="X130" s="782"/>
      <c r="Y130" s="782"/>
      <c r="Z130" s="782"/>
      <c r="AA130" s="782"/>
      <c r="AB130" s="782"/>
      <c r="AC130" s="782"/>
      <c r="AD130" s="782"/>
      <c r="AE130" s="782"/>
      <c r="AF130" s="782"/>
      <c r="AG130" s="782"/>
      <c r="AH130" s="782"/>
      <c r="AI130" s="782"/>
      <c r="AJ130" s="782"/>
      <c r="AK130" s="782"/>
      <c r="AL130" s="782"/>
      <c r="AM130" s="782"/>
      <c r="AN130" s="782"/>
      <c r="AO130" s="782"/>
      <c r="AP130" s="782"/>
      <c r="AQ130" s="782"/>
      <c r="AR130" s="782"/>
      <c r="AS130" s="782"/>
      <c r="AT130" s="782"/>
      <c r="AU130" s="782"/>
      <c r="AV130" s="782"/>
      <c r="AW130" s="782"/>
      <c r="AX130" s="782"/>
      <c r="AY130" s="782"/>
      <c r="AZ130" s="782"/>
      <c r="BA130" s="782"/>
      <c r="BB130" s="782"/>
      <c r="BC130" s="782"/>
    </row>
    <row r="131" spans="1:55" s="45" customFormat="1" x14ac:dyDescent="0.2">
      <c r="A131" s="782"/>
      <c r="B131" s="782"/>
      <c r="C131" s="782"/>
      <c r="D131" s="782"/>
      <c r="E131" s="782"/>
      <c r="F131" s="782"/>
      <c r="G131" s="782"/>
      <c r="H131" s="782"/>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c r="AK131" s="782"/>
      <c r="AL131" s="782"/>
      <c r="AM131" s="782"/>
      <c r="AN131" s="782"/>
      <c r="AO131" s="782"/>
      <c r="AP131" s="782"/>
      <c r="AQ131" s="782"/>
      <c r="AR131" s="782"/>
      <c r="AS131" s="782"/>
      <c r="AT131" s="782"/>
      <c r="AU131" s="782"/>
      <c r="AV131" s="782"/>
      <c r="AW131" s="782"/>
      <c r="AX131" s="782"/>
      <c r="AY131" s="782"/>
      <c r="AZ131" s="782"/>
      <c r="BA131" s="782"/>
      <c r="BB131" s="782"/>
      <c r="BC131" s="782"/>
    </row>
    <row r="132" spans="1:55" s="45" customFormat="1" x14ac:dyDescent="0.2">
      <c r="A132" s="782"/>
      <c r="B132" s="782"/>
      <c r="C132" s="782"/>
      <c r="D132" s="782"/>
      <c r="E132" s="782"/>
      <c r="F132" s="782"/>
      <c r="G132" s="782"/>
      <c r="H132" s="782"/>
      <c r="I132" s="782"/>
      <c r="J132" s="782"/>
      <c r="K132" s="782"/>
      <c r="L132" s="782"/>
      <c r="M132" s="782"/>
      <c r="N132" s="782"/>
      <c r="O132" s="782"/>
      <c r="P132" s="782"/>
      <c r="Q132" s="782"/>
      <c r="R132" s="782"/>
      <c r="S132" s="782"/>
      <c r="T132" s="782"/>
      <c r="U132" s="782"/>
      <c r="V132" s="782"/>
      <c r="W132" s="782"/>
      <c r="X132" s="782"/>
      <c r="Y132" s="782"/>
      <c r="Z132" s="782"/>
      <c r="AA132" s="782"/>
      <c r="AB132" s="782"/>
      <c r="AC132" s="782"/>
      <c r="AD132" s="782"/>
      <c r="AE132" s="782"/>
      <c r="AF132" s="782"/>
      <c r="AG132" s="782"/>
      <c r="AH132" s="782"/>
      <c r="AI132" s="782"/>
      <c r="AJ132" s="782"/>
      <c r="AK132" s="782"/>
      <c r="AL132" s="782"/>
      <c r="AM132" s="782"/>
      <c r="AN132" s="782"/>
      <c r="AO132" s="782"/>
      <c r="AP132" s="782"/>
      <c r="AQ132" s="782"/>
      <c r="AR132" s="782"/>
      <c r="AS132" s="782"/>
      <c r="AT132" s="782"/>
      <c r="AU132" s="782"/>
      <c r="AV132" s="782"/>
      <c r="AW132" s="782"/>
      <c r="AX132" s="782"/>
      <c r="AY132" s="782"/>
      <c r="AZ132" s="782"/>
      <c r="BA132" s="782"/>
      <c r="BB132" s="782"/>
      <c r="BC132" s="782"/>
    </row>
    <row r="133" spans="1:55" s="45" customFormat="1" x14ac:dyDescent="0.2">
      <c r="A133" s="782"/>
      <c r="B133" s="782"/>
      <c r="C133" s="782"/>
      <c r="D133" s="782"/>
      <c r="E133" s="782"/>
      <c r="F133" s="782"/>
      <c r="G133" s="782"/>
      <c r="H133" s="782"/>
      <c r="I133" s="782"/>
      <c r="J133" s="782"/>
      <c r="K133" s="782"/>
      <c r="L133" s="782"/>
      <c r="M133" s="782"/>
      <c r="N133" s="782"/>
      <c r="O133" s="782"/>
      <c r="P133" s="782"/>
      <c r="Q133" s="782"/>
      <c r="R133" s="782"/>
      <c r="S133" s="782"/>
      <c r="T133" s="782"/>
      <c r="U133" s="782"/>
      <c r="V133" s="782"/>
      <c r="W133" s="782"/>
      <c r="X133" s="782"/>
      <c r="Y133" s="782"/>
      <c r="Z133" s="782"/>
      <c r="AA133" s="782"/>
      <c r="AB133" s="782"/>
      <c r="AC133" s="782"/>
      <c r="AD133" s="782"/>
      <c r="AE133" s="782"/>
      <c r="AF133" s="782"/>
      <c r="AG133" s="782"/>
      <c r="AH133" s="782"/>
      <c r="AI133" s="782"/>
      <c r="AJ133" s="782"/>
      <c r="AK133" s="782"/>
      <c r="AL133" s="782"/>
      <c r="AM133" s="782"/>
      <c r="AN133" s="782"/>
      <c r="AO133" s="782"/>
      <c r="AP133" s="782"/>
      <c r="AQ133" s="782"/>
      <c r="AR133" s="782"/>
      <c r="AS133" s="782"/>
      <c r="AT133" s="782"/>
      <c r="AU133" s="782"/>
      <c r="AV133" s="782"/>
      <c r="AW133" s="782"/>
      <c r="AX133" s="782"/>
      <c r="AY133" s="782"/>
      <c r="AZ133" s="782"/>
      <c r="BA133" s="782"/>
      <c r="BB133" s="782"/>
      <c r="BC133" s="782"/>
    </row>
    <row r="134" spans="1:55" s="45" customFormat="1" x14ac:dyDescent="0.2">
      <c r="A134" s="782"/>
      <c r="B134" s="782"/>
      <c r="C134" s="782"/>
      <c r="D134" s="782"/>
      <c r="E134" s="782"/>
      <c r="F134" s="782"/>
      <c r="G134" s="782"/>
      <c r="H134" s="782"/>
      <c r="I134" s="782"/>
      <c r="J134" s="782"/>
      <c r="K134" s="782"/>
      <c r="L134" s="782"/>
      <c r="M134" s="782"/>
      <c r="N134" s="782"/>
      <c r="O134" s="782"/>
      <c r="P134" s="782"/>
      <c r="Q134" s="782"/>
      <c r="R134" s="782"/>
      <c r="S134" s="782"/>
      <c r="T134" s="782"/>
      <c r="U134" s="782"/>
      <c r="V134" s="782"/>
      <c r="W134" s="782"/>
      <c r="X134" s="782"/>
      <c r="Y134" s="782"/>
      <c r="Z134" s="782"/>
      <c r="AA134" s="782"/>
      <c r="AB134" s="782"/>
      <c r="AC134" s="782"/>
      <c r="AD134" s="782"/>
      <c r="AE134" s="782"/>
      <c r="AF134" s="782"/>
      <c r="AG134" s="782"/>
      <c r="AH134" s="782"/>
      <c r="AI134" s="782"/>
      <c r="AJ134" s="782"/>
      <c r="AK134" s="782"/>
      <c r="AL134" s="782"/>
      <c r="AM134" s="782"/>
      <c r="AN134" s="782"/>
      <c r="AO134" s="782"/>
      <c r="AP134" s="782"/>
      <c r="AQ134" s="782"/>
      <c r="AR134" s="782"/>
      <c r="AS134" s="782"/>
      <c r="AT134" s="782"/>
      <c r="AU134" s="782"/>
      <c r="AV134" s="782"/>
      <c r="AW134" s="782"/>
      <c r="AX134" s="782"/>
      <c r="AY134" s="782"/>
      <c r="AZ134" s="782"/>
      <c r="BA134" s="782"/>
      <c r="BB134" s="782"/>
      <c r="BC134" s="782"/>
    </row>
    <row r="135" spans="1:55" s="45" customFormat="1" x14ac:dyDescent="0.2">
      <c r="A135" s="782"/>
      <c r="B135" s="782"/>
      <c r="C135" s="782"/>
      <c r="D135" s="782"/>
      <c r="E135" s="782"/>
      <c r="F135" s="782"/>
      <c r="G135" s="782"/>
      <c r="H135" s="782"/>
      <c r="I135" s="782"/>
      <c r="J135" s="782"/>
      <c r="K135" s="782"/>
      <c r="L135" s="782"/>
      <c r="M135" s="782"/>
      <c r="N135" s="782"/>
      <c r="O135" s="782"/>
      <c r="P135" s="782"/>
      <c r="Q135" s="782"/>
      <c r="R135" s="782"/>
      <c r="S135" s="782"/>
      <c r="T135" s="782"/>
      <c r="U135" s="782"/>
      <c r="V135" s="782"/>
      <c r="W135" s="782"/>
      <c r="X135" s="782"/>
      <c r="Y135" s="782"/>
      <c r="Z135" s="782"/>
      <c r="AA135" s="782"/>
      <c r="AB135" s="782"/>
      <c r="AC135" s="782"/>
      <c r="AD135" s="782"/>
      <c r="AE135" s="782"/>
      <c r="AF135" s="782"/>
      <c r="AG135" s="782"/>
      <c r="AH135" s="782"/>
      <c r="AI135" s="782"/>
      <c r="AJ135" s="782"/>
      <c r="AK135" s="782"/>
      <c r="AL135" s="782"/>
      <c r="AM135" s="782"/>
      <c r="AN135" s="782"/>
      <c r="AO135" s="782"/>
      <c r="AP135" s="782"/>
      <c r="AQ135" s="782"/>
      <c r="AR135" s="782"/>
      <c r="AS135" s="782"/>
      <c r="AT135" s="782"/>
      <c r="AU135" s="782"/>
      <c r="AV135" s="782"/>
      <c r="AW135" s="782"/>
      <c r="AX135" s="782"/>
      <c r="AY135" s="782"/>
      <c r="AZ135" s="782"/>
      <c r="BA135" s="782"/>
      <c r="BB135" s="782"/>
      <c r="BC135" s="782"/>
    </row>
    <row r="136" spans="1:55" s="45" customFormat="1" x14ac:dyDescent="0.2">
      <c r="A136" s="782"/>
      <c r="B136" s="782"/>
      <c r="C136" s="782"/>
      <c r="D136" s="782"/>
      <c r="E136" s="782"/>
      <c r="F136" s="782"/>
      <c r="G136" s="782"/>
      <c r="H136" s="782"/>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c r="AK136" s="782"/>
      <c r="AL136" s="782"/>
      <c r="AM136" s="782"/>
      <c r="AN136" s="782"/>
      <c r="AO136" s="782"/>
      <c r="AP136" s="782"/>
      <c r="AQ136" s="782"/>
      <c r="AR136" s="782"/>
      <c r="AS136" s="782"/>
      <c r="AT136" s="782"/>
      <c r="AU136" s="782"/>
      <c r="AV136" s="782"/>
      <c r="AW136" s="782"/>
      <c r="AX136" s="782"/>
      <c r="AY136" s="782"/>
      <c r="AZ136" s="782"/>
      <c r="BA136" s="782"/>
      <c r="BB136" s="782"/>
      <c r="BC136" s="782"/>
    </row>
    <row r="137" spans="1:55" s="45" customFormat="1"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82"/>
      <c r="Z137" s="782"/>
      <c r="AA137" s="782"/>
      <c r="AB137" s="782"/>
      <c r="AC137" s="782"/>
      <c r="AD137" s="782"/>
      <c r="AE137" s="782"/>
      <c r="AF137" s="782"/>
      <c r="AG137" s="782"/>
      <c r="AH137" s="782"/>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row>
    <row r="138" spans="1:55" s="45" customFormat="1"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82"/>
      <c r="Z138" s="782"/>
      <c r="AA138" s="782"/>
      <c r="AB138" s="782"/>
      <c r="AC138" s="782"/>
      <c r="AD138" s="782"/>
      <c r="AE138" s="782"/>
      <c r="AF138" s="782"/>
      <c r="AG138" s="782"/>
      <c r="AH138" s="782"/>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row>
    <row r="139" spans="1:55" s="45" customFormat="1"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2"/>
      <c r="AG139" s="782"/>
      <c r="AH139" s="782"/>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row>
    <row r="140" spans="1:55" s="45" customFormat="1"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82"/>
      <c r="Z140" s="782"/>
      <c r="AA140" s="782"/>
      <c r="AB140" s="782"/>
      <c r="AC140" s="782"/>
      <c r="AD140" s="782"/>
      <c r="AE140" s="782"/>
      <c r="AF140" s="782"/>
      <c r="AG140" s="782"/>
      <c r="AH140" s="782"/>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row>
    <row r="141" spans="1:55" s="45" customFormat="1"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82"/>
      <c r="Z141" s="782"/>
      <c r="AA141" s="782"/>
      <c r="AB141" s="782"/>
      <c r="AC141" s="782"/>
      <c r="AD141" s="782"/>
      <c r="AE141" s="782"/>
      <c r="AF141" s="782"/>
      <c r="AG141" s="782"/>
      <c r="AH141" s="782"/>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row>
    <row r="142" spans="1:55" s="45" customFormat="1"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82"/>
      <c r="Z142" s="782"/>
      <c r="AA142" s="782"/>
      <c r="AB142" s="782"/>
      <c r="AC142" s="782"/>
      <c r="AD142" s="782"/>
      <c r="AE142" s="782"/>
      <c r="AF142" s="782"/>
      <c r="AG142" s="782"/>
      <c r="AH142" s="782"/>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row>
    <row r="143" spans="1:55" s="45" customFormat="1"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82"/>
      <c r="Z143" s="782"/>
      <c r="AA143" s="782"/>
      <c r="AB143" s="782"/>
      <c r="AC143" s="782"/>
      <c r="AD143" s="782"/>
      <c r="AE143" s="782"/>
      <c r="AF143" s="782"/>
      <c r="AG143" s="782"/>
      <c r="AH143" s="782"/>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row>
    <row r="144" spans="1:55" s="45" customFormat="1"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82"/>
      <c r="Z144" s="782"/>
      <c r="AA144" s="782"/>
      <c r="AB144" s="782"/>
      <c r="AC144" s="782"/>
      <c r="AD144" s="782"/>
      <c r="AE144" s="782"/>
      <c r="AF144" s="782"/>
      <c r="AG144" s="782"/>
      <c r="AH144" s="782"/>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row>
    <row r="145" spans="1:55" s="45" customFormat="1"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82"/>
      <c r="Z145" s="782"/>
      <c r="AA145" s="782"/>
      <c r="AB145" s="782"/>
      <c r="AC145" s="782"/>
      <c r="AD145" s="782"/>
      <c r="AE145" s="782"/>
      <c r="AF145" s="782"/>
      <c r="AG145" s="782"/>
      <c r="AH145" s="782"/>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row>
    <row r="146" spans="1:55" s="45" customFormat="1"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82"/>
      <c r="Z146" s="782"/>
      <c r="AA146" s="782"/>
      <c r="AB146" s="782"/>
      <c r="AC146" s="782"/>
      <c r="AD146" s="782"/>
      <c r="AE146" s="782"/>
      <c r="AF146" s="782"/>
      <c r="AG146" s="782"/>
      <c r="AH146" s="782"/>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row>
    <row r="147" spans="1:55" s="45" customFormat="1"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82"/>
      <c r="Z147" s="782"/>
      <c r="AA147" s="782"/>
      <c r="AB147" s="782"/>
      <c r="AC147" s="782"/>
      <c r="AD147" s="782"/>
      <c r="AE147" s="782"/>
      <c r="AF147" s="782"/>
      <c r="AG147" s="782"/>
      <c r="AH147" s="782"/>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row>
    <row r="148" spans="1:55" s="45" customFormat="1"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82"/>
      <c r="Z148" s="782"/>
      <c r="AA148" s="782"/>
      <c r="AB148" s="782"/>
      <c r="AC148" s="782"/>
      <c r="AD148" s="782"/>
      <c r="AE148" s="782"/>
      <c r="AF148" s="782"/>
      <c r="AG148" s="782"/>
      <c r="AH148" s="782"/>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row>
    <row r="149" spans="1:55" s="45" customFormat="1"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82"/>
      <c r="Z149" s="782"/>
      <c r="AA149" s="782"/>
      <c r="AB149" s="782"/>
      <c r="AC149" s="782"/>
      <c r="AD149" s="782"/>
      <c r="AE149" s="782"/>
      <c r="AF149" s="782"/>
      <c r="AG149" s="782"/>
      <c r="AH149" s="782"/>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row>
    <row r="150" spans="1:55" s="45" customFormat="1"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82"/>
      <c r="Z150" s="782"/>
      <c r="AA150" s="782"/>
      <c r="AB150" s="782"/>
      <c r="AC150" s="782"/>
      <c r="AD150" s="782"/>
      <c r="AE150" s="782"/>
      <c r="AF150" s="782"/>
      <c r="AG150" s="782"/>
      <c r="AH150" s="782"/>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row>
    <row r="151" spans="1:55" s="45" customFormat="1"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82"/>
      <c r="Z151" s="782"/>
      <c r="AA151" s="782"/>
      <c r="AB151" s="782"/>
      <c r="AC151" s="782"/>
      <c r="AD151" s="782"/>
      <c r="AE151" s="782"/>
      <c r="AF151" s="782"/>
      <c r="AG151" s="782"/>
      <c r="AH151" s="782"/>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row>
    <row r="152" spans="1:55" s="45" customFormat="1"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82"/>
      <c r="Z152" s="782"/>
      <c r="AA152" s="782"/>
      <c r="AB152" s="782"/>
      <c r="AC152" s="782"/>
      <c r="AD152" s="782"/>
      <c r="AE152" s="782"/>
      <c r="AF152" s="782"/>
      <c r="AG152" s="782"/>
      <c r="AH152" s="782"/>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row>
    <row r="153" spans="1:55" s="45" customFormat="1"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782"/>
      <c r="AG153" s="782"/>
      <c r="AH153" s="782"/>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row>
    <row r="154" spans="1:55" s="45" customFormat="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782"/>
      <c r="AG154" s="782"/>
      <c r="AH154" s="782"/>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row>
    <row r="155" spans="1:55" s="45" customFormat="1"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82"/>
      <c r="Z155" s="782"/>
      <c r="AA155" s="782"/>
      <c r="AB155" s="782"/>
      <c r="AC155" s="782"/>
      <c r="AD155" s="782"/>
      <c r="AE155" s="782"/>
      <c r="AF155" s="782"/>
      <c r="AG155" s="782"/>
      <c r="AH155" s="782"/>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row>
    <row r="156" spans="1:55" s="45" customFormat="1"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82"/>
      <c r="Z156" s="782"/>
      <c r="AA156" s="782"/>
      <c r="AB156" s="782"/>
      <c r="AC156" s="782"/>
      <c r="AD156" s="782"/>
      <c r="AE156" s="782"/>
      <c r="AF156" s="782"/>
      <c r="AG156" s="782"/>
      <c r="AH156" s="782"/>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row>
    <row r="157" spans="1:55" s="45" customFormat="1"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82"/>
      <c r="Z157" s="782"/>
      <c r="AA157" s="782"/>
      <c r="AB157" s="782"/>
      <c r="AC157" s="782"/>
      <c r="AD157" s="782"/>
      <c r="AE157" s="782"/>
      <c r="AF157" s="782"/>
      <c r="AG157" s="782"/>
      <c r="AH157" s="782"/>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row>
    <row r="158" spans="1:55" s="45" customFormat="1"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82"/>
      <c r="Z158" s="782"/>
      <c r="AA158" s="782"/>
      <c r="AB158" s="782"/>
      <c r="AC158" s="782"/>
      <c r="AD158" s="782"/>
      <c r="AE158" s="782"/>
      <c r="AF158" s="782"/>
      <c r="AG158" s="782"/>
      <c r="AH158" s="782"/>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row>
    <row r="159" spans="1:55" s="45" customFormat="1"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82"/>
      <c r="Z159" s="782"/>
      <c r="AA159" s="782"/>
      <c r="AB159" s="782"/>
      <c r="AC159" s="782"/>
      <c r="AD159" s="782"/>
      <c r="AE159" s="782"/>
      <c r="AF159" s="782"/>
      <c r="AG159" s="782"/>
      <c r="AH159" s="782"/>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row>
    <row r="160" spans="1:55" s="45" customFormat="1"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row>
    <row r="161" spans="1:55" s="45" customFormat="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82"/>
      <c r="Z161" s="782"/>
      <c r="AA161" s="782"/>
      <c r="AB161" s="782"/>
      <c r="AC161" s="782"/>
      <c r="AD161" s="782"/>
      <c r="AE161" s="782"/>
      <c r="AF161" s="782"/>
      <c r="AG161" s="782"/>
      <c r="AH161" s="782"/>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row>
    <row r="162" spans="1:55" s="45" customFormat="1"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82"/>
      <c r="Z162" s="782"/>
      <c r="AA162" s="782"/>
      <c r="AB162" s="782"/>
      <c r="AC162" s="782"/>
      <c r="AD162" s="782"/>
      <c r="AE162" s="782"/>
      <c r="AF162" s="782"/>
      <c r="AG162" s="782"/>
      <c r="AH162" s="782"/>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row>
    <row r="163" spans="1:55" s="45" customFormat="1"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782"/>
      <c r="AG163" s="782"/>
      <c r="AH163" s="782"/>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row>
    <row r="164" spans="1:55" s="45" customFormat="1"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82"/>
      <c r="Z164" s="782"/>
      <c r="AA164" s="782"/>
      <c r="AB164" s="782"/>
      <c r="AC164" s="782"/>
      <c r="AD164" s="782"/>
      <c r="AE164" s="782"/>
      <c r="AF164" s="782"/>
      <c r="AG164" s="782"/>
      <c r="AH164" s="782"/>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row>
    <row r="165" spans="1:55" s="45" customFormat="1"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82"/>
      <c r="Z165" s="782"/>
      <c r="AA165" s="782"/>
      <c r="AB165" s="782"/>
      <c r="AC165" s="782"/>
      <c r="AD165" s="782"/>
      <c r="AE165" s="782"/>
      <c r="AF165" s="782"/>
      <c r="AG165" s="782"/>
      <c r="AH165" s="782"/>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row>
    <row r="166" spans="1:55" s="45" customFormat="1"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782"/>
      <c r="AG166" s="782"/>
      <c r="AH166" s="782"/>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row>
    <row r="167" spans="1:55" s="45" customFormat="1"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82"/>
      <c r="Z167" s="782"/>
      <c r="AA167" s="782"/>
      <c r="AB167" s="782"/>
      <c r="AC167" s="782"/>
      <c r="AD167" s="782"/>
      <c r="AE167" s="782"/>
      <c r="AF167" s="782"/>
      <c r="AG167" s="782"/>
      <c r="AH167" s="782"/>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row>
    <row r="168" spans="1:55" s="45" customFormat="1"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row>
    <row r="169" spans="1:55" s="45" customFormat="1"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82"/>
      <c r="Z169" s="782"/>
      <c r="AA169" s="782"/>
      <c r="AB169" s="782"/>
      <c r="AC169" s="782"/>
      <c r="AD169" s="782"/>
      <c r="AE169" s="782"/>
      <c r="AF169" s="782"/>
      <c r="AG169" s="782"/>
      <c r="AH169" s="782"/>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row>
    <row r="170" spans="1:55" s="45" customFormat="1"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782"/>
      <c r="AG170" s="782"/>
      <c r="AH170" s="782"/>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row>
    <row r="171" spans="1:55" s="45" customFormat="1" x14ac:dyDescent="0.2"/>
    <row r="172" spans="1:55" s="45" customFormat="1" x14ac:dyDescent="0.2"/>
    <row r="173" spans="1:55" s="45" customFormat="1" x14ac:dyDescent="0.2"/>
    <row r="174" spans="1:55" s="45" customFormat="1" x14ac:dyDescent="0.2"/>
    <row r="175" spans="1:55" s="45" customFormat="1" x14ac:dyDescent="0.2"/>
    <row r="176" spans="1:55" s="45" customFormat="1" x14ac:dyDescent="0.2"/>
    <row r="177" s="45" customFormat="1" x14ac:dyDescent="0.2"/>
    <row r="178" s="45" customFormat="1" x14ac:dyDescent="0.2"/>
    <row r="179" s="45" customFormat="1" x14ac:dyDescent="0.2"/>
    <row r="180" s="45" customFormat="1" x14ac:dyDescent="0.2"/>
    <row r="181" s="45" customFormat="1" x14ac:dyDescent="0.2"/>
    <row r="182" s="45" customFormat="1" x14ac:dyDescent="0.2"/>
    <row r="183" s="45" customFormat="1" x14ac:dyDescent="0.2"/>
    <row r="184" s="45" customFormat="1" x14ac:dyDescent="0.2"/>
    <row r="185" s="45" customFormat="1" x14ac:dyDescent="0.2"/>
    <row r="186" s="45" customFormat="1" x14ac:dyDescent="0.2"/>
    <row r="187" s="45" customFormat="1" x14ac:dyDescent="0.2"/>
    <row r="188" s="45" customFormat="1" x14ac:dyDescent="0.2"/>
    <row r="189" s="45" customFormat="1" x14ac:dyDescent="0.2"/>
    <row r="190" s="45" customFormat="1" x14ac:dyDescent="0.2"/>
    <row r="191" s="45" customFormat="1" x14ac:dyDescent="0.2"/>
    <row r="192" s="45" customFormat="1" x14ac:dyDescent="0.2"/>
    <row r="193" s="45" customFormat="1" x14ac:dyDescent="0.2"/>
    <row r="194" s="45" customFormat="1" x14ac:dyDescent="0.2"/>
    <row r="195" s="45" customFormat="1" x14ac:dyDescent="0.2"/>
    <row r="196" s="45" customFormat="1" x14ac:dyDescent="0.2"/>
    <row r="197" s="45" customFormat="1" x14ac:dyDescent="0.2"/>
    <row r="198" s="45" customFormat="1" x14ac:dyDescent="0.2"/>
    <row r="199" s="45" customFormat="1" x14ac:dyDescent="0.2"/>
    <row r="200" s="45" customFormat="1" x14ac:dyDescent="0.2"/>
    <row r="201" s="45" customFormat="1" x14ac:dyDescent="0.2"/>
    <row r="202" s="45" customFormat="1" x14ac:dyDescent="0.2"/>
    <row r="203" s="45" customFormat="1" x14ac:dyDescent="0.2"/>
    <row r="204" s="45" customFormat="1" x14ac:dyDescent="0.2"/>
    <row r="205" s="45" customFormat="1" x14ac:dyDescent="0.2"/>
    <row r="206" s="45" customFormat="1" x14ac:dyDescent="0.2"/>
    <row r="207" s="45" customFormat="1" x14ac:dyDescent="0.2"/>
    <row r="208" s="45" customFormat="1" x14ac:dyDescent="0.2"/>
    <row r="209" s="45" customFormat="1" x14ac:dyDescent="0.2"/>
    <row r="210" s="45" customFormat="1" x14ac:dyDescent="0.2"/>
    <row r="211" s="45" customFormat="1" x14ac:dyDescent="0.2"/>
    <row r="212" s="45" customFormat="1" x14ac:dyDescent="0.2"/>
    <row r="213" s="45" customFormat="1" x14ac:dyDescent="0.2"/>
    <row r="214" s="45" customFormat="1" x14ac:dyDescent="0.2"/>
    <row r="215" s="45" customFormat="1" x14ac:dyDescent="0.2"/>
    <row r="216" s="45" customFormat="1" x14ac:dyDescent="0.2"/>
    <row r="217" s="45" customFormat="1" x14ac:dyDescent="0.2"/>
    <row r="218" s="45" customFormat="1" x14ac:dyDescent="0.2"/>
    <row r="219" s="45" customFormat="1" x14ac:dyDescent="0.2"/>
    <row r="220" s="45" customFormat="1" x14ac:dyDescent="0.2"/>
    <row r="221" s="45" customFormat="1" x14ac:dyDescent="0.2"/>
    <row r="222" s="45" customFormat="1" x14ac:dyDescent="0.2"/>
    <row r="223" s="45" customFormat="1" x14ac:dyDescent="0.2"/>
    <row r="224" s="45" customFormat="1" x14ac:dyDescent="0.2"/>
    <row r="225" s="45" customFormat="1" x14ac:dyDescent="0.2"/>
    <row r="226" s="45" customFormat="1" x14ac:dyDescent="0.2"/>
    <row r="227" s="45" customFormat="1" x14ac:dyDescent="0.2"/>
    <row r="228" s="45" customFormat="1" x14ac:dyDescent="0.2"/>
    <row r="229" s="45" customFormat="1" x14ac:dyDescent="0.2"/>
    <row r="230" s="45" customFormat="1" x14ac:dyDescent="0.2"/>
    <row r="231" s="45" customFormat="1" x14ac:dyDescent="0.2"/>
    <row r="232" s="45" customFormat="1" x14ac:dyDescent="0.2"/>
    <row r="233" s="45" customFormat="1" x14ac:dyDescent="0.2"/>
    <row r="234" s="45" customFormat="1" x14ac:dyDescent="0.2"/>
    <row r="235" s="45" customFormat="1" x14ac:dyDescent="0.2"/>
    <row r="236" s="45" customFormat="1" x14ac:dyDescent="0.2"/>
    <row r="237" s="45" customFormat="1" x14ac:dyDescent="0.2"/>
    <row r="238" s="45" customFormat="1" x14ac:dyDescent="0.2"/>
    <row r="239" s="45" customFormat="1" x14ac:dyDescent="0.2"/>
    <row r="240" s="45" customFormat="1" x14ac:dyDescent="0.2"/>
    <row r="241" s="45" customFormat="1" x14ac:dyDescent="0.2"/>
    <row r="242" s="45" customFormat="1" x14ac:dyDescent="0.2"/>
    <row r="243" s="45" customFormat="1" x14ac:dyDescent="0.2"/>
    <row r="244" s="45" customFormat="1" x14ac:dyDescent="0.2"/>
    <row r="245" s="45" customFormat="1" x14ac:dyDescent="0.2"/>
    <row r="246" s="45" customFormat="1" x14ac:dyDescent="0.2"/>
    <row r="247" s="45" customFormat="1" x14ac:dyDescent="0.2"/>
    <row r="248" s="45" customFormat="1" x14ac:dyDescent="0.2"/>
    <row r="249" s="45" customFormat="1" x14ac:dyDescent="0.2"/>
    <row r="250" s="45" customFormat="1" x14ac:dyDescent="0.2"/>
    <row r="251" s="45" customFormat="1" x14ac:dyDescent="0.2"/>
    <row r="252" s="45" customFormat="1" x14ac:dyDescent="0.2"/>
    <row r="253" s="45" customFormat="1" x14ac:dyDescent="0.2"/>
    <row r="254" s="45" customFormat="1" x14ac:dyDescent="0.2"/>
    <row r="255" s="45" customFormat="1" x14ac:dyDescent="0.2"/>
    <row r="256" s="45" customFormat="1" x14ac:dyDescent="0.2"/>
    <row r="257" s="45" customFormat="1" x14ac:dyDescent="0.2"/>
    <row r="258" s="45" customFormat="1" x14ac:dyDescent="0.2"/>
    <row r="259" s="45" customFormat="1" x14ac:dyDescent="0.2"/>
    <row r="260" s="45" customFormat="1" x14ac:dyDescent="0.2"/>
    <row r="261" s="45" customFormat="1" x14ac:dyDescent="0.2"/>
    <row r="262" s="45" customFormat="1" x14ac:dyDescent="0.2"/>
    <row r="263" s="45" customFormat="1" x14ac:dyDescent="0.2"/>
    <row r="264" s="45" customFormat="1" x14ac:dyDescent="0.2"/>
    <row r="265" s="45" customFormat="1" x14ac:dyDescent="0.2"/>
    <row r="266" s="45" customFormat="1" x14ac:dyDescent="0.2"/>
    <row r="267" s="45" customFormat="1" x14ac:dyDescent="0.2"/>
    <row r="268" s="45" customFormat="1" x14ac:dyDescent="0.2"/>
    <row r="269" s="45" customFormat="1" x14ac:dyDescent="0.2"/>
    <row r="270" s="45" customFormat="1" x14ac:dyDescent="0.2"/>
    <row r="271" s="45" customFormat="1" x14ac:dyDescent="0.2"/>
    <row r="272" s="45" customFormat="1" x14ac:dyDescent="0.2"/>
    <row r="273" s="45" customFormat="1" x14ac:dyDescent="0.2"/>
    <row r="274" s="45" customFormat="1" x14ac:dyDescent="0.2"/>
    <row r="275" s="45" customFormat="1" x14ac:dyDescent="0.2"/>
    <row r="276" s="45" customFormat="1" x14ac:dyDescent="0.2"/>
    <row r="277" s="45" customFormat="1" x14ac:dyDescent="0.2"/>
    <row r="278" s="45" customFormat="1" x14ac:dyDescent="0.2"/>
    <row r="279" s="45" customFormat="1" x14ac:dyDescent="0.2"/>
    <row r="280" s="45" customFormat="1" x14ac:dyDescent="0.2"/>
    <row r="281" s="45" customFormat="1" x14ac:dyDescent="0.2"/>
    <row r="282" s="45" customFormat="1" x14ac:dyDescent="0.2"/>
    <row r="283" s="45" customFormat="1" x14ac:dyDescent="0.2"/>
    <row r="284" s="45" customFormat="1" x14ac:dyDescent="0.2"/>
    <row r="285" s="45" customFormat="1" x14ac:dyDescent="0.2"/>
    <row r="286" s="45" customFormat="1" x14ac:dyDescent="0.2"/>
    <row r="287" s="45" customFormat="1" x14ac:dyDescent="0.2"/>
    <row r="288" s="45" customFormat="1" x14ac:dyDescent="0.2"/>
    <row r="289" s="45" customFormat="1" x14ac:dyDescent="0.2"/>
    <row r="290" s="45" customFormat="1" x14ac:dyDescent="0.2"/>
    <row r="291" s="45" customFormat="1" x14ac:dyDescent="0.2"/>
    <row r="292" s="45" customFormat="1" x14ac:dyDescent="0.2"/>
    <row r="293" s="45" customFormat="1" x14ac:dyDescent="0.2"/>
    <row r="294" s="45" customFormat="1" x14ac:dyDescent="0.2"/>
    <row r="295" s="45" customFormat="1" x14ac:dyDescent="0.2"/>
    <row r="296" s="45" customFormat="1" x14ac:dyDescent="0.2"/>
    <row r="297" s="45" customFormat="1" x14ac:dyDescent="0.2"/>
    <row r="298" s="45" customFormat="1" x14ac:dyDescent="0.2"/>
    <row r="299" s="45" customFormat="1" x14ac:dyDescent="0.2"/>
    <row r="300" s="45" customFormat="1" x14ac:dyDescent="0.2"/>
    <row r="301" s="45" customFormat="1" x14ac:dyDescent="0.2"/>
    <row r="302" s="45" customFormat="1" x14ac:dyDescent="0.2"/>
    <row r="303" s="45" customFormat="1" x14ac:dyDescent="0.2"/>
    <row r="304" s="45" customFormat="1" x14ac:dyDescent="0.2"/>
    <row r="305" s="45" customFormat="1" x14ac:dyDescent="0.2"/>
    <row r="306" s="45" customFormat="1" x14ac:dyDescent="0.2"/>
    <row r="307" s="45" customFormat="1" x14ac:dyDescent="0.2"/>
    <row r="308" s="45" customFormat="1" x14ac:dyDescent="0.2"/>
    <row r="309" s="45" customFormat="1" x14ac:dyDescent="0.2"/>
    <row r="310" s="45" customFormat="1" x14ac:dyDescent="0.2"/>
    <row r="311" s="45" customFormat="1" x14ac:dyDescent="0.2"/>
    <row r="312" s="45" customFormat="1" x14ac:dyDescent="0.2"/>
    <row r="313" s="45" customFormat="1" x14ac:dyDescent="0.2"/>
    <row r="314" s="45" customFormat="1" x14ac:dyDescent="0.2"/>
    <row r="315" s="45" customFormat="1" x14ac:dyDescent="0.2"/>
    <row r="316" s="45" customFormat="1" x14ac:dyDescent="0.2"/>
    <row r="317" s="45" customFormat="1" x14ac:dyDescent="0.2"/>
    <row r="318" s="45" customFormat="1" x14ac:dyDescent="0.2"/>
    <row r="319" s="45" customFormat="1" x14ac:dyDescent="0.2"/>
    <row r="320" s="45" customFormat="1" x14ac:dyDescent="0.2"/>
    <row r="321" s="45" customFormat="1" x14ac:dyDescent="0.2"/>
    <row r="322" s="45" customFormat="1" x14ac:dyDescent="0.2"/>
    <row r="323" s="45" customFormat="1" x14ac:dyDescent="0.2"/>
    <row r="324" s="45" customFormat="1" x14ac:dyDescent="0.2"/>
    <row r="325" s="45" customFormat="1" x14ac:dyDescent="0.2"/>
    <row r="326" s="45" customFormat="1" x14ac:dyDescent="0.2"/>
    <row r="327" s="45" customFormat="1" x14ac:dyDescent="0.2"/>
    <row r="328" s="45" customFormat="1" x14ac:dyDescent="0.2"/>
    <row r="329" s="45" customFormat="1" x14ac:dyDescent="0.2"/>
    <row r="330" s="45" customFormat="1" x14ac:dyDescent="0.2"/>
    <row r="331" s="45" customFormat="1" x14ac:dyDescent="0.2"/>
    <row r="332" s="45" customFormat="1" x14ac:dyDescent="0.2"/>
    <row r="333" s="45" customFormat="1" x14ac:dyDescent="0.2"/>
    <row r="334" s="45" customFormat="1" x14ac:dyDescent="0.2"/>
    <row r="335" s="45" customFormat="1" x14ac:dyDescent="0.2"/>
    <row r="336" s="45" customFormat="1" x14ac:dyDescent="0.2"/>
    <row r="337" s="45" customFormat="1" x14ac:dyDescent="0.2"/>
    <row r="338" s="45" customFormat="1" x14ac:dyDescent="0.2"/>
    <row r="339" s="45" customFormat="1" x14ac:dyDescent="0.2"/>
    <row r="340" s="45" customFormat="1" x14ac:dyDescent="0.2"/>
    <row r="341" s="45" customFormat="1" x14ac:dyDescent="0.2"/>
    <row r="342" s="45" customFormat="1" x14ac:dyDescent="0.2"/>
    <row r="343" s="45" customFormat="1" x14ac:dyDescent="0.2"/>
    <row r="344" s="45" customFormat="1" x14ac:dyDescent="0.2"/>
    <row r="345" s="45" customFormat="1" x14ac:dyDescent="0.2"/>
    <row r="346" s="45" customFormat="1" x14ac:dyDescent="0.2"/>
    <row r="347" s="45" customFormat="1" x14ac:dyDescent="0.2"/>
    <row r="348" s="45" customFormat="1" x14ac:dyDescent="0.2"/>
    <row r="349" s="45" customFormat="1" x14ac:dyDescent="0.2"/>
    <row r="350" s="45" customFormat="1" x14ac:dyDescent="0.2"/>
    <row r="351" s="45" customFormat="1" x14ac:dyDescent="0.2"/>
    <row r="352" s="45" customFormat="1" x14ac:dyDescent="0.2"/>
    <row r="353" s="45" customFormat="1" x14ac:dyDescent="0.2"/>
    <row r="354" s="45" customFormat="1" x14ac:dyDescent="0.2"/>
    <row r="355" s="45" customFormat="1" x14ac:dyDescent="0.2"/>
    <row r="356" s="45" customFormat="1" x14ac:dyDescent="0.2"/>
    <row r="357" s="45" customFormat="1" x14ac:dyDescent="0.2"/>
    <row r="358" s="45" customFormat="1" x14ac:dyDescent="0.2"/>
    <row r="359" s="45" customFormat="1" x14ac:dyDescent="0.2"/>
    <row r="360" s="45" customFormat="1" x14ac:dyDescent="0.2"/>
    <row r="361" s="45" customFormat="1" x14ac:dyDescent="0.2"/>
    <row r="362" s="45" customFormat="1" x14ac:dyDescent="0.2"/>
    <row r="363" s="45" customFormat="1" x14ac:dyDescent="0.2"/>
    <row r="364" s="45" customFormat="1" x14ac:dyDescent="0.2"/>
    <row r="365" s="45" customFormat="1" x14ac:dyDescent="0.2"/>
    <row r="366" s="45" customFormat="1" x14ac:dyDescent="0.2"/>
    <row r="367" s="45" customFormat="1" x14ac:dyDescent="0.2"/>
    <row r="368" s="45" customFormat="1" x14ac:dyDescent="0.2"/>
    <row r="369" s="45" customFormat="1" x14ac:dyDescent="0.2"/>
    <row r="370" s="45" customFormat="1" x14ac:dyDescent="0.2"/>
    <row r="371" s="45" customFormat="1" x14ac:dyDescent="0.2"/>
    <row r="372" s="45" customFormat="1" x14ac:dyDescent="0.2"/>
    <row r="373" s="45" customFormat="1" x14ac:dyDescent="0.2"/>
    <row r="374" s="45" customFormat="1" x14ac:dyDescent="0.2"/>
    <row r="375" s="45" customFormat="1" x14ac:dyDescent="0.2"/>
    <row r="376" s="45" customFormat="1" x14ac:dyDescent="0.2"/>
    <row r="377" s="45" customFormat="1" x14ac:dyDescent="0.2"/>
    <row r="378" s="45" customFormat="1" x14ac:dyDescent="0.2"/>
    <row r="379" s="45" customFormat="1" x14ac:dyDescent="0.2"/>
    <row r="380" s="45" customFormat="1" x14ac:dyDescent="0.2"/>
    <row r="381" s="45" customFormat="1" x14ac:dyDescent="0.2"/>
    <row r="382" s="45" customFormat="1" x14ac:dyDescent="0.2"/>
    <row r="383" s="45" customFormat="1" x14ac:dyDescent="0.2"/>
    <row r="384" s="45" customFormat="1" x14ac:dyDescent="0.2"/>
    <row r="385" s="45" customFormat="1" x14ac:dyDescent="0.2"/>
    <row r="386" s="45" customFormat="1" x14ac:dyDescent="0.2"/>
    <row r="387" s="45" customFormat="1" x14ac:dyDescent="0.2"/>
    <row r="388" s="45" customFormat="1" x14ac:dyDescent="0.2"/>
    <row r="389" s="45" customFormat="1" x14ac:dyDescent="0.2"/>
    <row r="390" s="45" customFormat="1" x14ac:dyDescent="0.2"/>
    <row r="391" s="45" customFormat="1" x14ac:dyDescent="0.2"/>
    <row r="392" s="45" customFormat="1" x14ac:dyDescent="0.2"/>
    <row r="393" s="45" customFormat="1" x14ac:dyDescent="0.2"/>
    <row r="394" s="45" customFormat="1" x14ac:dyDescent="0.2"/>
    <row r="395" s="45" customFormat="1" x14ac:dyDescent="0.2"/>
    <row r="396" s="45" customFormat="1" x14ac:dyDescent="0.2"/>
    <row r="397" s="45" customFormat="1" x14ac:dyDescent="0.2"/>
    <row r="398" s="45" customFormat="1" x14ac:dyDescent="0.2"/>
    <row r="399" s="45" customFormat="1" x14ac:dyDescent="0.2"/>
    <row r="400" s="45" customFormat="1" x14ac:dyDescent="0.2"/>
    <row r="401" s="45" customFormat="1" x14ac:dyDescent="0.2"/>
    <row r="402" s="45" customFormat="1" x14ac:dyDescent="0.2"/>
    <row r="403" s="45" customFormat="1" x14ac:dyDescent="0.2"/>
    <row r="404" s="45" customFormat="1" x14ac:dyDescent="0.2"/>
    <row r="405" s="45" customFormat="1" x14ac:dyDescent="0.2"/>
    <row r="406" s="45" customFormat="1" x14ac:dyDescent="0.2"/>
    <row r="407" s="45" customFormat="1" x14ac:dyDescent="0.2"/>
    <row r="408" s="45" customFormat="1" x14ac:dyDescent="0.2"/>
    <row r="409" s="45" customFormat="1" x14ac:dyDescent="0.2"/>
    <row r="410" s="45" customFormat="1" x14ac:dyDescent="0.2"/>
    <row r="411" s="45" customFormat="1" x14ac:dyDescent="0.2"/>
    <row r="412" s="45" customFormat="1" x14ac:dyDescent="0.2"/>
    <row r="413" s="45" customFormat="1" x14ac:dyDescent="0.2"/>
    <row r="414" s="45" customFormat="1" x14ac:dyDescent="0.2"/>
    <row r="415" s="45" customFormat="1" x14ac:dyDescent="0.2"/>
    <row r="416" s="45" customFormat="1" x14ac:dyDescent="0.2"/>
    <row r="417" s="45" customFormat="1" x14ac:dyDescent="0.2"/>
    <row r="418" s="45" customFormat="1" x14ac:dyDescent="0.2"/>
    <row r="419" s="45" customFormat="1" x14ac:dyDescent="0.2"/>
    <row r="420" s="45" customFormat="1" x14ac:dyDescent="0.2"/>
    <row r="421" s="45" customFormat="1" x14ac:dyDescent="0.2"/>
    <row r="422" s="45" customFormat="1" x14ac:dyDescent="0.2"/>
    <row r="423" s="45" customFormat="1" x14ac:dyDescent="0.2"/>
    <row r="424" s="45" customFormat="1" x14ac:dyDescent="0.2"/>
    <row r="425" s="45" customFormat="1" x14ac:dyDescent="0.2"/>
    <row r="426" s="45" customFormat="1" x14ac:dyDescent="0.2"/>
    <row r="427" s="45" customFormat="1" x14ac:dyDescent="0.2"/>
    <row r="428" s="45" customFormat="1" x14ac:dyDescent="0.2"/>
    <row r="429" s="45" customFormat="1" x14ac:dyDescent="0.2"/>
    <row r="430" s="45" customFormat="1" x14ac:dyDescent="0.2"/>
    <row r="431" s="45" customFormat="1" x14ac:dyDescent="0.2"/>
    <row r="432" s="45" customFormat="1" x14ac:dyDescent="0.2"/>
    <row r="433" s="45" customFormat="1" x14ac:dyDescent="0.2"/>
    <row r="434" s="45" customFormat="1" x14ac:dyDescent="0.2"/>
    <row r="435" s="45" customFormat="1" x14ac:dyDescent="0.2"/>
    <row r="436" s="45" customFormat="1" x14ac:dyDescent="0.2"/>
    <row r="437" s="45" customFormat="1" x14ac:dyDescent="0.2"/>
    <row r="438" s="45" customFormat="1" x14ac:dyDescent="0.2"/>
    <row r="439" s="45" customFormat="1" x14ac:dyDescent="0.2"/>
    <row r="440" s="45" customFormat="1" x14ac:dyDescent="0.2"/>
    <row r="441" s="45" customFormat="1" x14ac:dyDescent="0.2"/>
    <row r="442" s="45" customFormat="1" x14ac:dyDescent="0.2"/>
    <row r="443" s="45" customFormat="1" x14ac:dyDescent="0.2"/>
    <row r="444" s="45" customFormat="1" x14ac:dyDescent="0.2"/>
    <row r="445" s="45" customFormat="1" x14ac:dyDescent="0.2"/>
    <row r="446" s="45" customFormat="1" x14ac:dyDescent="0.2"/>
    <row r="447" s="45" customFormat="1" x14ac:dyDescent="0.2"/>
    <row r="448" s="45" customFormat="1" x14ac:dyDescent="0.2"/>
    <row r="449" s="45" customFormat="1" x14ac:dyDescent="0.2"/>
    <row r="450" s="45" customFormat="1" x14ac:dyDescent="0.2"/>
    <row r="451" s="45" customFormat="1" x14ac:dyDescent="0.2"/>
    <row r="452" s="45" customFormat="1" x14ac:dyDescent="0.2"/>
    <row r="453" s="45" customFormat="1" x14ac:dyDescent="0.2"/>
    <row r="454" s="45" customFormat="1" x14ac:dyDescent="0.2"/>
    <row r="455" s="45" customFormat="1" x14ac:dyDescent="0.2"/>
    <row r="456" s="45" customFormat="1" x14ac:dyDescent="0.2"/>
    <row r="457" s="45" customFormat="1" x14ac:dyDescent="0.2"/>
    <row r="458" s="45" customFormat="1" x14ac:dyDescent="0.2"/>
    <row r="459" s="45" customFormat="1" x14ac:dyDescent="0.2"/>
    <row r="460" s="45" customFormat="1" x14ac:dyDescent="0.2"/>
    <row r="461" s="45" customFormat="1" x14ac:dyDescent="0.2"/>
    <row r="462" s="45" customFormat="1" x14ac:dyDescent="0.2"/>
    <row r="463" s="45" customFormat="1" x14ac:dyDescent="0.2"/>
    <row r="464" s="45" customFormat="1" x14ac:dyDescent="0.2"/>
    <row r="465" s="45" customFormat="1" x14ac:dyDescent="0.2"/>
    <row r="466" s="45" customFormat="1" x14ac:dyDescent="0.2"/>
    <row r="467" s="45" customFormat="1" x14ac:dyDescent="0.2"/>
    <row r="468" s="45" customFormat="1" x14ac:dyDescent="0.2"/>
    <row r="469" s="45" customFormat="1" x14ac:dyDescent="0.2"/>
    <row r="470" s="45" customFormat="1" x14ac:dyDescent="0.2"/>
    <row r="471" s="45" customFormat="1" x14ac:dyDescent="0.2"/>
    <row r="472" s="45" customFormat="1" x14ac:dyDescent="0.2"/>
    <row r="473" s="45" customFormat="1" x14ac:dyDescent="0.2"/>
    <row r="474" s="45" customFormat="1" x14ac:dyDescent="0.2"/>
    <row r="475" s="45" customFormat="1" x14ac:dyDescent="0.2"/>
    <row r="476" s="45" customFormat="1" x14ac:dyDescent="0.2"/>
    <row r="477" s="45" customFormat="1" x14ac:dyDescent="0.2"/>
    <row r="478" s="45" customFormat="1" x14ac:dyDescent="0.2"/>
    <row r="479" s="45" customFormat="1" x14ac:dyDescent="0.2"/>
    <row r="480" s="45" customFormat="1" x14ac:dyDescent="0.2"/>
    <row r="481" s="45" customFormat="1" x14ac:dyDescent="0.2"/>
    <row r="482" s="45" customFormat="1" x14ac:dyDescent="0.2"/>
    <row r="483" s="45" customFormat="1" x14ac:dyDescent="0.2"/>
    <row r="484" s="45" customFormat="1" x14ac:dyDescent="0.2"/>
    <row r="485" s="45" customFormat="1" x14ac:dyDescent="0.2"/>
    <row r="486" s="45" customFormat="1" x14ac:dyDescent="0.2"/>
    <row r="487" s="45" customFormat="1" x14ac:dyDescent="0.2"/>
    <row r="488" s="45" customFormat="1" x14ac:dyDescent="0.2"/>
    <row r="489" s="45" customFormat="1" x14ac:dyDescent="0.2"/>
    <row r="490" s="45" customFormat="1" x14ac:dyDescent="0.2"/>
    <row r="491" s="45" customFormat="1" x14ac:dyDescent="0.2"/>
    <row r="492" s="45" customFormat="1" x14ac:dyDescent="0.2"/>
    <row r="493" s="45" customFormat="1" x14ac:dyDescent="0.2"/>
    <row r="494" s="45" customFormat="1" x14ac:dyDescent="0.2"/>
    <row r="495" s="45" customFormat="1" x14ac:dyDescent="0.2"/>
    <row r="496" s="45" customFormat="1" x14ac:dyDescent="0.2"/>
    <row r="497" s="45" customFormat="1" x14ac:dyDescent="0.2"/>
    <row r="498" s="45" customFormat="1" x14ac:dyDescent="0.2"/>
    <row r="499" s="45" customFormat="1" x14ac:dyDescent="0.2"/>
    <row r="500" s="45" customFormat="1" x14ac:dyDescent="0.2"/>
    <row r="501" s="45" customFormat="1" x14ac:dyDescent="0.2"/>
    <row r="502" s="45" customFormat="1" x14ac:dyDescent="0.2"/>
    <row r="503" s="45" customFormat="1" x14ac:dyDescent="0.2"/>
    <row r="504" s="45" customFormat="1" x14ac:dyDescent="0.2"/>
    <row r="505" s="45" customFormat="1" x14ac:dyDescent="0.2"/>
  </sheetData>
  <mergeCells count="17">
    <mergeCell ref="N1:N3"/>
    <mergeCell ref="D2:D3"/>
    <mergeCell ref="E2:E3"/>
    <mergeCell ref="F2:F3"/>
    <mergeCell ref="K1:K3"/>
    <mergeCell ref="L1:L3"/>
    <mergeCell ref="G1:H1"/>
    <mergeCell ref="M1:M3"/>
    <mergeCell ref="Q1:T1"/>
    <mergeCell ref="V1:X1"/>
    <mergeCell ref="T2:T3"/>
    <mergeCell ref="V2:V3"/>
    <mergeCell ref="Q2:Q3"/>
    <mergeCell ref="W2:W3"/>
    <mergeCell ref="X2:X3"/>
    <mergeCell ref="S2:S3"/>
    <mergeCell ref="R2:R3"/>
  </mergeCells>
  <phoneticPr fontId="0" type="noConversion"/>
  <dataValidations count="3">
    <dataValidation allowBlank="1" showInputMessage="1" showErrorMessage="1" promptTitle="Empfehlung des Fachverbandes," prompt="Grundgage für Komparsen_x000a_mit € 41,42 festzusetzen!" sqref="E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F62 F59:F60 F1:M55" xr:uid="{B57554FD-0398-4C02-BAF0-DF46CF3EB6F7}">
      <formula1>-9999</formula1>
    </dataValidation>
  </dataValidations>
  <printOptions horizontalCentered="1"/>
  <pageMargins left="0.39370078740157483" right="0.39370078740157483" top="0.98425196850393704" bottom="0.78740157480314965" header="0.51181102362204722" footer="0.51181102362204722"/>
  <pageSetup paperSize="9" scale="46"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D56:M58 D55:E55 D62:E62 N55 D61:M61 D59:E60 G59:M60 G62:M62 N56:O58 N61:O61 N59:O60 N62"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A37" sqref="A37"/>
    </sheetView>
  </sheetViews>
  <sheetFormatPr baseColWidth="10" defaultColWidth="11" defaultRowHeight="12.75" x14ac:dyDescent="0.2"/>
  <cols>
    <col min="1" max="1" width="16.875" style="47" customWidth="1"/>
    <col min="2" max="2" width="7.125" style="81" bestFit="1" customWidth="1"/>
    <col min="3" max="10" width="10.875" style="81" customWidth="1"/>
    <col min="11" max="11" width="25.625" style="47" customWidth="1"/>
    <col min="12" max="17" width="11" style="47"/>
    <col min="18" max="20" width="12.125" style="47" customWidth="1"/>
    <col min="21" max="16384" width="11" style="47"/>
  </cols>
  <sheetData>
    <row r="1" spans="1:251" s="46" customFormat="1" ht="18" x14ac:dyDescent="0.25">
      <c r="A1" s="916" t="str">
        <f>Stammblatt!A1 &amp; " Motivliste"</f>
        <v>Projekttitel Motivliste</v>
      </c>
      <c r="B1" s="907"/>
      <c r="C1" s="907"/>
      <c r="D1" s="907"/>
      <c r="E1" s="907"/>
      <c r="F1" s="907"/>
      <c r="G1" s="907"/>
      <c r="H1" s="907"/>
      <c r="I1" s="907"/>
      <c r="J1" s="907"/>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34"/>
      <c r="BB1" s="34"/>
      <c r="BC1" s="34"/>
    </row>
    <row r="2" spans="1:251" s="46" customFormat="1" ht="18" x14ac:dyDescent="0.25">
      <c r="A2" s="909"/>
      <c r="B2" s="907"/>
      <c r="C2" s="907"/>
      <c r="D2" s="907"/>
      <c r="E2" s="907"/>
      <c r="F2" s="907"/>
      <c r="G2" s="907"/>
      <c r="H2" s="907"/>
      <c r="I2" s="907"/>
      <c r="J2" s="907"/>
      <c r="K2" s="908"/>
      <c r="L2" s="908"/>
      <c r="M2" s="908"/>
      <c r="N2" s="908"/>
      <c r="O2" s="908"/>
      <c r="P2" s="908"/>
      <c r="Q2" s="908"/>
      <c r="R2" s="908"/>
      <c r="S2" s="908"/>
      <c r="T2" s="908"/>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c r="AT2" s="908"/>
      <c r="AU2" s="908"/>
      <c r="AV2" s="908"/>
      <c r="AW2" s="908"/>
      <c r="AX2" s="908"/>
      <c r="AY2" s="908"/>
      <c r="AZ2" s="908"/>
      <c r="BA2" s="47"/>
      <c r="BB2" s="47"/>
      <c r="BC2" s="47"/>
    </row>
    <row r="3" spans="1:251" s="46" customFormat="1" ht="25.5" hidden="1" customHeight="1" x14ac:dyDescent="0.25">
      <c r="A3" s="909"/>
      <c r="B3" s="910" t="s">
        <v>225</v>
      </c>
      <c r="C3" s="910" t="s">
        <v>440</v>
      </c>
      <c r="D3" s="910" t="s">
        <v>441</v>
      </c>
      <c r="E3" s="910"/>
      <c r="F3" s="910"/>
      <c r="G3" s="910" t="s">
        <v>442</v>
      </c>
      <c r="H3" s="910" t="s">
        <v>226</v>
      </c>
      <c r="I3" s="910"/>
      <c r="J3" s="910"/>
      <c r="K3" s="911" t="s">
        <v>227</v>
      </c>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47"/>
      <c r="BB3" s="47"/>
      <c r="BC3" s="47"/>
    </row>
    <row r="4" spans="1:251" s="46" customFormat="1" ht="25.5" hidden="1" customHeight="1" x14ac:dyDescent="0.25">
      <c r="A4" s="909"/>
      <c r="B4" s="910" t="s">
        <v>455</v>
      </c>
      <c r="C4" s="910" t="s">
        <v>456</v>
      </c>
      <c r="D4" s="910" t="s">
        <v>482</v>
      </c>
      <c r="E4" s="910"/>
      <c r="F4" s="910"/>
      <c r="G4" s="910" t="s">
        <v>483</v>
      </c>
      <c r="H4" s="910" t="s">
        <v>484</v>
      </c>
      <c r="I4" s="910"/>
      <c r="J4" s="910"/>
      <c r="K4" s="911" t="s">
        <v>485</v>
      </c>
      <c r="L4" s="908"/>
      <c r="M4" s="908"/>
      <c r="N4" s="908"/>
      <c r="O4" s="908"/>
      <c r="P4" s="908"/>
      <c r="Q4" s="908"/>
      <c r="R4" s="908"/>
      <c r="S4" s="908"/>
      <c r="T4" s="908"/>
      <c r="U4" s="908"/>
      <c r="V4" s="908"/>
      <c r="W4" s="908"/>
      <c r="X4" s="908"/>
      <c r="Y4" s="908"/>
      <c r="Z4" s="908"/>
      <c r="AA4" s="908"/>
      <c r="AB4" s="908"/>
      <c r="AC4" s="908"/>
      <c r="AD4" s="908"/>
      <c r="AE4" s="908"/>
      <c r="AF4" s="908"/>
      <c r="AG4" s="908"/>
      <c r="AH4" s="908"/>
      <c r="AI4" s="908"/>
      <c r="AJ4" s="908"/>
      <c r="AK4" s="908"/>
      <c r="AL4" s="908"/>
      <c r="AM4" s="908"/>
      <c r="AN4" s="908"/>
      <c r="AO4" s="908"/>
      <c r="AP4" s="908"/>
      <c r="AQ4" s="908"/>
      <c r="AR4" s="908"/>
      <c r="AS4" s="908"/>
      <c r="AT4" s="908"/>
      <c r="AU4" s="908"/>
      <c r="AV4" s="908"/>
      <c r="AW4" s="908"/>
      <c r="AX4" s="908"/>
      <c r="AY4" s="908"/>
      <c r="AZ4" s="908"/>
      <c r="BA4" s="47"/>
      <c r="BB4" s="47"/>
      <c r="BC4" s="47"/>
    </row>
    <row r="5" spans="1:251" s="25" customFormat="1" ht="28.5" customHeight="1" x14ac:dyDescent="0.2">
      <c r="A5" s="912"/>
      <c r="B5" s="509" t="str">
        <f>IF(Stammblatt!$L$4=1,Motivliste!B3,Motivliste!B4)</f>
        <v>I/A/T/N</v>
      </c>
      <c r="C5" s="913" t="str">
        <f>IF(Stammblatt!$L$4=1,Motivliste!C3,Motivliste!C4)</f>
        <v>Motiv- gebühr</v>
      </c>
      <c r="D5" s="913" t="str">
        <f>IF(Stammblatt!$L$4=1,Motivliste!D3,Motivliste!D4)</f>
        <v>Abgaben &amp; HV</v>
      </c>
      <c r="E5" s="913" t="s">
        <v>833</v>
      </c>
      <c r="F5" s="913" t="s">
        <v>845</v>
      </c>
      <c r="G5" s="913" t="str">
        <f>IF(Stammblatt!$L$4=1,Motivliste!G3,Motivliste!G4)</f>
        <v>Bau-  material</v>
      </c>
      <c r="H5" s="913" t="str">
        <f>IF(Stammblatt!$L$4=1,Motivliste!H3,Motivliste!H4)</f>
        <v>Requisiten</v>
      </c>
      <c r="I5" s="913" t="s">
        <v>832</v>
      </c>
      <c r="J5" s="913" t="s">
        <v>831</v>
      </c>
      <c r="K5" s="913" t="str">
        <f>IF(Stammblatt!$L$4=1,Motivliste!K3,Motivliste!K4)</f>
        <v>Anmerkungen</v>
      </c>
      <c r="L5" s="915"/>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47"/>
      <c r="BB5" s="47"/>
      <c r="BC5" s="47"/>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row>
    <row r="6" spans="1:251" x14ac:dyDescent="0.2">
      <c r="A6" s="78" t="s">
        <v>457</v>
      </c>
      <c r="B6" s="79"/>
      <c r="C6" s="79"/>
      <c r="D6" s="79"/>
      <c r="E6" s="79"/>
      <c r="F6" s="79"/>
      <c r="G6" s="79"/>
      <c r="H6" s="79"/>
      <c r="I6" s="79"/>
      <c r="J6" s="79"/>
      <c r="K6" s="78"/>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2"/>
    </row>
    <row r="7" spans="1:251" x14ac:dyDescent="0.2">
      <c r="A7" s="78" t="s">
        <v>458</v>
      </c>
      <c r="B7" s="79"/>
      <c r="C7" s="79"/>
      <c r="D7" s="79"/>
      <c r="E7" s="79"/>
      <c r="F7" s="79"/>
      <c r="G7" s="79"/>
      <c r="H7" s="79"/>
      <c r="I7" s="79"/>
      <c r="J7" s="79"/>
      <c r="K7" s="78"/>
      <c r="L7" s="842"/>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row>
    <row r="8" spans="1:251" x14ac:dyDescent="0.2">
      <c r="A8" s="78" t="s">
        <v>459</v>
      </c>
      <c r="B8" s="79"/>
      <c r="C8" s="79"/>
      <c r="D8" s="79"/>
      <c r="E8" s="79"/>
      <c r="F8" s="79"/>
      <c r="G8" s="79"/>
      <c r="H8" s="79"/>
      <c r="I8" s="79"/>
      <c r="J8" s="79"/>
      <c r="K8" s="78"/>
      <c r="L8" s="842"/>
      <c r="M8" s="842"/>
      <c r="N8" s="842"/>
      <c r="O8" s="842"/>
      <c r="P8" s="842"/>
      <c r="Q8" s="842"/>
      <c r="R8" s="842"/>
      <c r="S8" s="842"/>
      <c r="T8" s="842"/>
      <c r="U8" s="842"/>
      <c r="V8" s="842"/>
      <c r="W8" s="842"/>
      <c r="X8" s="842"/>
      <c r="Y8" s="842"/>
      <c r="Z8" s="842"/>
      <c r="AA8" s="842"/>
      <c r="AB8" s="842"/>
      <c r="AC8" s="842"/>
      <c r="AD8" s="842"/>
      <c r="AE8" s="842"/>
      <c r="AF8" s="842"/>
      <c r="AG8" s="842"/>
      <c r="AH8" s="842"/>
      <c r="AI8" s="842"/>
      <c r="AJ8" s="842"/>
      <c r="AK8" s="842"/>
      <c r="AL8" s="842"/>
      <c r="AM8" s="842"/>
      <c r="AN8" s="842"/>
      <c r="AO8" s="842"/>
      <c r="AP8" s="842"/>
      <c r="AQ8" s="842"/>
      <c r="AR8" s="842"/>
      <c r="AS8" s="842"/>
      <c r="AT8" s="842"/>
      <c r="AU8" s="842"/>
      <c r="AV8" s="842"/>
      <c r="AW8" s="842"/>
      <c r="AX8" s="842"/>
      <c r="AY8" s="842"/>
      <c r="AZ8" s="842"/>
    </row>
    <row r="9" spans="1:251" x14ac:dyDescent="0.2">
      <c r="A9" s="78" t="s">
        <v>460</v>
      </c>
      <c r="B9" s="79"/>
      <c r="C9" s="79"/>
      <c r="D9" s="79"/>
      <c r="E9" s="79"/>
      <c r="F9" s="79"/>
      <c r="G9" s="79"/>
      <c r="H9" s="79"/>
      <c r="I9" s="79"/>
      <c r="J9" s="79"/>
      <c r="K9" s="78"/>
      <c r="L9" s="842"/>
      <c r="M9" s="842"/>
      <c r="N9" s="842"/>
      <c r="O9" s="842"/>
      <c r="P9" s="842"/>
      <c r="Q9" s="842"/>
      <c r="R9" s="842"/>
      <c r="S9" s="842"/>
      <c r="T9" s="842"/>
      <c r="U9" s="842"/>
      <c r="V9" s="842"/>
      <c r="W9" s="842"/>
      <c r="X9" s="842"/>
      <c r="Y9" s="842"/>
      <c r="Z9" s="842"/>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row>
    <row r="10" spans="1:251" x14ac:dyDescent="0.2">
      <c r="A10" s="78" t="s">
        <v>461</v>
      </c>
      <c r="B10" s="79"/>
      <c r="C10" s="79"/>
      <c r="D10" s="79"/>
      <c r="E10" s="79"/>
      <c r="F10" s="79"/>
      <c r="G10" s="79"/>
      <c r="H10" s="79"/>
      <c r="I10" s="79"/>
      <c r="J10" s="79"/>
      <c r="K10" s="78"/>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42"/>
      <c r="AM10" s="842"/>
      <c r="AN10" s="842"/>
      <c r="AO10" s="842"/>
      <c r="AP10" s="842"/>
      <c r="AQ10" s="842"/>
      <c r="AR10" s="842"/>
      <c r="AS10" s="842"/>
      <c r="AT10" s="842"/>
      <c r="AU10" s="842"/>
      <c r="AV10" s="842"/>
      <c r="AW10" s="842"/>
      <c r="AX10" s="842"/>
      <c r="AY10" s="842"/>
      <c r="AZ10" s="842"/>
    </row>
    <row r="11" spans="1:251" x14ac:dyDescent="0.2">
      <c r="A11" s="78" t="s">
        <v>462</v>
      </c>
      <c r="B11" s="79"/>
      <c r="C11" s="79"/>
      <c r="D11" s="79"/>
      <c r="E11" s="79"/>
      <c r="F11" s="79"/>
      <c r="G11" s="79"/>
      <c r="H11" s="79"/>
      <c r="I11" s="79"/>
      <c r="J11" s="79"/>
      <c r="K11" s="78"/>
      <c r="L11" s="842"/>
      <c r="M11" s="842"/>
      <c r="N11" s="842"/>
      <c r="O11" s="842"/>
      <c r="P11" s="842"/>
      <c r="Q11" s="842"/>
      <c r="R11" s="842"/>
      <c r="S11" s="842"/>
      <c r="T11" s="842"/>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2"/>
      <c r="AR11" s="842"/>
      <c r="AS11" s="842"/>
      <c r="AT11" s="842"/>
      <c r="AU11" s="842"/>
      <c r="AV11" s="842"/>
      <c r="AW11" s="842"/>
      <c r="AX11" s="842"/>
      <c r="AY11" s="842"/>
      <c r="AZ11" s="842"/>
    </row>
    <row r="12" spans="1:251" x14ac:dyDescent="0.2">
      <c r="A12" s="78" t="s">
        <v>463</v>
      </c>
      <c r="B12" s="79"/>
      <c r="C12" s="79"/>
      <c r="D12" s="79"/>
      <c r="E12" s="79"/>
      <c r="F12" s="79"/>
      <c r="G12" s="79"/>
      <c r="H12" s="79"/>
      <c r="I12" s="79"/>
      <c r="J12" s="79"/>
      <c r="K12" s="78"/>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2"/>
      <c r="AR12" s="842"/>
      <c r="AS12" s="842"/>
      <c r="AT12" s="842"/>
      <c r="AU12" s="842"/>
      <c r="AV12" s="842"/>
      <c r="AW12" s="842"/>
      <c r="AX12" s="842"/>
      <c r="AY12" s="842"/>
      <c r="AZ12" s="842"/>
    </row>
    <row r="13" spans="1:251" x14ac:dyDescent="0.2">
      <c r="A13" s="78" t="s">
        <v>464</v>
      </c>
      <c r="B13" s="79"/>
      <c r="C13" s="79"/>
      <c r="D13" s="79"/>
      <c r="E13" s="79"/>
      <c r="F13" s="79"/>
      <c r="G13" s="79"/>
      <c r="H13" s="79"/>
      <c r="I13" s="79"/>
      <c r="J13" s="79"/>
      <c r="K13" s="78"/>
      <c r="L13" s="842"/>
      <c r="M13" s="842"/>
      <c r="N13" s="842"/>
      <c r="O13" s="842"/>
      <c r="P13" s="842"/>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c r="AT13" s="842"/>
      <c r="AU13" s="842"/>
      <c r="AV13" s="842"/>
      <c r="AW13" s="842"/>
      <c r="AX13" s="842"/>
      <c r="AY13" s="842"/>
      <c r="AZ13" s="842"/>
    </row>
    <row r="14" spans="1:251" x14ac:dyDescent="0.2">
      <c r="A14" s="78" t="s">
        <v>465</v>
      </c>
      <c r="B14" s="79"/>
      <c r="C14" s="79"/>
      <c r="D14" s="79"/>
      <c r="E14" s="79"/>
      <c r="F14" s="79"/>
      <c r="G14" s="79"/>
      <c r="H14" s="79"/>
      <c r="I14" s="79"/>
      <c r="J14" s="79"/>
      <c r="K14" s="78"/>
      <c r="L14" s="842"/>
      <c r="M14" s="842"/>
      <c r="N14" s="842"/>
      <c r="O14" s="842"/>
      <c r="P14" s="842"/>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842"/>
      <c r="AR14" s="842"/>
      <c r="AS14" s="842"/>
      <c r="AT14" s="842"/>
      <c r="AU14" s="842"/>
      <c r="AV14" s="842"/>
      <c r="AW14" s="842"/>
      <c r="AX14" s="842"/>
      <c r="AY14" s="842"/>
      <c r="AZ14" s="842"/>
    </row>
    <row r="15" spans="1:251" x14ac:dyDescent="0.2">
      <c r="A15" s="78" t="s">
        <v>466</v>
      </c>
      <c r="B15" s="79"/>
      <c r="C15" s="79"/>
      <c r="D15" s="79"/>
      <c r="E15" s="79"/>
      <c r="F15" s="79"/>
      <c r="G15" s="79"/>
      <c r="H15" s="79"/>
      <c r="I15" s="79"/>
      <c r="J15" s="79"/>
      <c r="K15" s="78"/>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2"/>
      <c r="AO15" s="842"/>
      <c r="AP15" s="842"/>
      <c r="AQ15" s="842"/>
      <c r="AR15" s="842"/>
      <c r="AS15" s="842"/>
      <c r="AT15" s="842"/>
      <c r="AU15" s="842"/>
      <c r="AV15" s="842"/>
      <c r="AW15" s="842"/>
      <c r="AX15" s="842"/>
      <c r="AY15" s="842"/>
      <c r="AZ15" s="842"/>
    </row>
    <row r="16" spans="1:251" x14ac:dyDescent="0.2">
      <c r="A16" s="78" t="s">
        <v>467</v>
      </c>
      <c r="B16" s="79"/>
      <c r="C16" s="79"/>
      <c r="D16" s="79"/>
      <c r="E16" s="79"/>
      <c r="F16" s="79"/>
      <c r="G16" s="79"/>
      <c r="H16" s="79"/>
      <c r="I16" s="79"/>
      <c r="J16" s="79"/>
      <c r="K16" s="78"/>
      <c r="L16" s="842"/>
      <c r="M16" s="842"/>
      <c r="N16" s="842"/>
      <c r="O16" s="842"/>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842"/>
      <c r="AR16" s="842"/>
      <c r="AS16" s="842"/>
      <c r="AT16" s="842"/>
      <c r="AU16" s="842"/>
      <c r="AV16" s="842"/>
      <c r="AW16" s="842"/>
      <c r="AX16" s="842"/>
      <c r="AY16" s="842"/>
      <c r="AZ16" s="842"/>
    </row>
    <row r="17" spans="1:52" x14ac:dyDescent="0.2">
      <c r="A17" s="78" t="s">
        <v>468</v>
      </c>
      <c r="B17" s="79"/>
      <c r="C17" s="79"/>
      <c r="D17" s="79"/>
      <c r="E17" s="79"/>
      <c r="F17" s="79"/>
      <c r="G17" s="79"/>
      <c r="H17" s="79"/>
      <c r="I17" s="79"/>
      <c r="J17" s="79"/>
      <c r="K17" s="78"/>
      <c r="L17" s="842"/>
      <c r="M17" s="842"/>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O17" s="842"/>
      <c r="AP17" s="842"/>
      <c r="AQ17" s="842"/>
      <c r="AR17" s="842"/>
      <c r="AS17" s="842"/>
      <c r="AT17" s="842"/>
      <c r="AU17" s="842"/>
      <c r="AV17" s="842"/>
      <c r="AW17" s="842"/>
      <c r="AX17" s="842"/>
      <c r="AY17" s="842"/>
      <c r="AZ17" s="842"/>
    </row>
    <row r="18" spans="1:52" x14ac:dyDescent="0.2">
      <c r="A18" s="78" t="s">
        <v>469</v>
      </c>
      <c r="B18" s="79"/>
      <c r="C18" s="79"/>
      <c r="D18" s="79"/>
      <c r="E18" s="79"/>
      <c r="F18" s="79"/>
      <c r="G18" s="79"/>
      <c r="H18" s="79"/>
      <c r="I18" s="79"/>
      <c r="J18" s="79"/>
      <c r="K18" s="78"/>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O18" s="842"/>
      <c r="AP18" s="842"/>
      <c r="AQ18" s="842"/>
      <c r="AR18" s="842"/>
      <c r="AS18" s="842"/>
      <c r="AT18" s="842"/>
      <c r="AU18" s="842"/>
      <c r="AV18" s="842"/>
      <c r="AW18" s="842"/>
      <c r="AX18" s="842"/>
      <c r="AY18" s="842"/>
      <c r="AZ18" s="842"/>
    </row>
    <row r="19" spans="1:52" x14ac:dyDescent="0.2">
      <c r="A19" s="78" t="s">
        <v>470</v>
      </c>
      <c r="B19" s="79"/>
      <c r="C19" s="79"/>
      <c r="D19" s="79"/>
      <c r="E19" s="79"/>
      <c r="F19" s="79"/>
      <c r="G19" s="79"/>
      <c r="H19" s="79"/>
      <c r="I19" s="79"/>
      <c r="J19" s="79"/>
      <c r="K19" s="78"/>
      <c r="L19" s="842"/>
      <c r="M19" s="842"/>
      <c r="N19" s="842"/>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O19" s="842"/>
      <c r="AP19" s="842"/>
      <c r="AQ19" s="842"/>
      <c r="AR19" s="842"/>
      <c r="AS19" s="842"/>
      <c r="AT19" s="842"/>
      <c r="AU19" s="842"/>
      <c r="AV19" s="842"/>
      <c r="AW19" s="842"/>
      <c r="AX19" s="842"/>
      <c r="AY19" s="842"/>
      <c r="AZ19" s="842"/>
    </row>
    <row r="20" spans="1:52" x14ac:dyDescent="0.2">
      <c r="A20" s="78" t="s">
        <v>471</v>
      </c>
      <c r="B20" s="79"/>
      <c r="C20" s="79"/>
      <c r="D20" s="79"/>
      <c r="E20" s="79"/>
      <c r="F20" s="79"/>
      <c r="G20" s="79"/>
      <c r="H20" s="79"/>
      <c r="I20" s="79"/>
      <c r="J20" s="79"/>
      <c r="K20" s="78"/>
      <c r="L20" s="842"/>
      <c r="M20" s="842"/>
      <c r="N20" s="842"/>
      <c r="O20" s="842"/>
      <c r="P20" s="842"/>
      <c r="Q20" s="842"/>
      <c r="R20" s="842"/>
      <c r="S20" s="842"/>
      <c r="T20" s="842"/>
      <c r="U20" s="842"/>
      <c r="V20" s="842"/>
      <c r="W20" s="842"/>
      <c r="X20" s="842"/>
      <c r="Y20" s="842"/>
      <c r="Z20" s="842"/>
      <c r="AA20" s="842"/>
      <c r="AB20" s="842"/>
      <c r="AC20" s="842"/>
      <c r="AD20" s="842"/>
      <c r="AE20" s="842"/>
      <c r="AF20" s="842"/>
      <c r="AG20" s="842"/>
      <c r="AH20" s="842"/>
      <c r="AI20" s="842"/>
      <c r="AJ20" s="842"/>
      <c r="AK20" s="842"/>
      <c r="AL20" s="842"/>
      <c r="AM20" s="842"/>
      <c r="AN20" s="842"/>
      <c r="AO20" s="842"/>
      <c r="AP20" s="842"/>
      <c r="AQ20" s="842"/>
      <c r="AR20" s="842"/>
      <c r="AS20" s="842"/>
      <c r="AT20" s="842"/>
      <c r="AU20" s="842"/>
      <c r="AV20" s="842"/>
      <c r="AW20" s="842"/>
      <c r="AX20" s="842"/>
      <c r="AY20" s="842"/>
      <c r="AZ20" s="842"/>
    </row>
    <row r="21" spans="1:52" x14ac:dyDescent="0.2">
      <c r="A21" s="78" t="s">
        <v>472</v>
      </c>
      <c r="B21" s="79"/>
      <c r="C21" s="79"/>
      <c r="D21" s="79"/>
      <c r="E21" s="79"/>
      <c r="F21" s="79"/>
      <c r="G21" s="79"/>
      <c r="H21" s="79"/>
      <c r="I21" s="79"/>
      <c r="J21" s="79"/>
      <c r="K21" s="78"/>
      <c r="L21" s="842"/>
      <c r="M21" s="842"/>
      <c r="N21" s="842"/>
      <c r="O21" s="842"/>
      <c r="P21" s="842"/>
      <c r="Q21" s="842"/>
      <c r="R21" s="842"/>
      <c r="S21" s="842"/>
      <c r="T21" s="842"/>
      <c r="U21" s="842"/>
      <c r="V21" s="842"/>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42"/>
      <c r="AW21" s="842"/>
      <c r="AX21" s="842"/>
      <c r="AY21" s="842"/>
      <c r="AZ21" s="842"/>
    </row>
    <row r="22" spans="1:52" x14ac:dyDescent="0.2">
      <c r="A22" s="78" t="s">
        <v>473</v>
      </c>
      <c r="B22" s="79"/>
      <c r="C22" s="79"/>
      <c r="D22" s="79"/>
      <c r="E22" s="79"/>
      <c r="F22" s="79"/>
      <c r="G22" s="79"/>
      <c r="H22" s="79"/>
      <c r="I22" s="79"/>
      <c r="J22" s="79"/>
      <c r="K22" s="78"/>
      <c r="L22" s="842"/>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2"/>
      <c r="AK22" s="842"/>
      <c r="AL22" s="842"/>
      <c r="AM22" s="842"/>
      <c r="AN22" s="842"/>
      <c r="AO22" s="842"/>
      <c r="AP22" s="842"/>
      <c r="AQ22" s="842"/>
      <c r="AR22" s="842"/>
      <c r="AS22" s="842"/>
      <c r="AT22" s="842"/>
      <c r="AU22" s="842"/>
      <c r="AV22" s="842"/>
      <c r="AW22" s="842"/>
      <c r="AX22" s="842"/>
      <c r="AY22" s="842"/>
      <c r="AZ22" s="842"/>
    </row>
    <row r="23" spans="1:52" x14ac:dyDescent="0.2">
      <c r="A23" s="78" t="s">
        <v>474</v>
      </c>
      <c r="B23" s="79"/>
      <c r="C23" s="79"/>
      <c r="D23" s="79"/>
      <c r="E23" s="79"/>
      <c r="F23" s="79"/>
      <c r="G23" s="79"/>
      <c r="H23" s="79"/>
      <c r="I23" s="79"/>
      <c r="J23" s="79"/>
      <c r="K23" s="78"/>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row>
    <row r="24" spans="1:52" x14ac:dyDescent="0.2">
      <c r="A24" s="78" t="s">
        <v>475</v>
      </c>
      <c r="B24" s="79"/>
      <c r="C24" s="79"/>
      <c r="D24" s="79"/>
      <c r="E24" s="79"/>
      <c r="F24" s="79"/>
      <c r="G24" s="79"/>
      <c r="H24" s="79"/>
      <c r="I24" s="79"/>
      <c r="J24" s="79"/>
      <c r="K24" s="78"/>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row>
    <row r="25" spans="1:52" x14ac:dyDescent="0.2">
      <c r="A25" s="78" t="s">
        <v>476</v>
      </c>
      <c r="B25" s="79"/>
      <c r="C25" s="79"/>
      <c r="D25" s="79"/>
      <c r="E25" s="79"/>
      <c r="F25" s="79"/>
      <c r="G25" s="79"/>
      <c r="H25" s="79"/>
      <c r="I25" s="79"/>
      <c r="J25" s="79"/>
      <c r="K25" s="78"/>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row>
    <row r="26" spans="1:52" x14ac:dyDescent="0.2">
      <c r="A26" s="78" t="s">
        <v>477</v>
      </c>
      <c r="B26" s="79"/>
      <c r="C26" s="79"/>
      <c r="D26" s="79"/>
      <c r="E26" s="79"/>
      <c r="F26" s="79"/>
      <c r="G26" s="79"/>
      <c r="H26" s="79"/>
      <c r="I26" s="79"/>
      <c r="J26" s="79"/>
      <c r="K26" s="78"/>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2"/>
      <c r="AR26" s="842"/>
      <c r="AS26" s="842"/>
      <c r="AT26" s="842"/>
      <c r="AU26" s="842"/>
      <c r="AV26" s="842"/>
      <c r="AW26" s="842"/>
      <c r="AX26" s="842"/>
      <c r="AY26" s="842"/>
      <c r="AZ26" s="842"/>
    </row>
    <row r="27" spans="1:52" x14ac:dyDescent="0.2">
      <c r="A27" s="78" t="s">
        <v>478</v>
      </c>
      <c r="B27" s="79"/>
      <c r="C27" s="79"/>
      <c r="D27" s="79"/>
      <c r="E27" s="79"/>
      <c r="F27" s="79"/>
      <c r="G27" s="79"/>
      <c r="H27" s="79"/>
      <c r="I27" s="79"/>
      <c r="J27" s="79"/>
      <c r="K27" s="78"/>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c r="AK27" s="842"/>
      <c r="AL27" s="842"/>
      <c r="AM27" s="842"/>
      <c r="AN27" s="842"/>
      <c r="AO27" s="842"/>
      <c r="AP27" s="842"/>
      <c r="AQ27" s="842"/>
      <c r="AR27" s="842"/>
      <c r="AS27" s="842"/>
      <c r="AT27" s="842"/>
      <c r="AU27" s="842"/>
      <c r="AV27" s="842"/>
      <c r="AW27" s="842"/>
      <c r="AX27" s="842"/>
      <c r="AY27" s="842"/>
      <c r="AZ27" s="842"/>
    </row>
    <row r="28" spans="1:52" x14ac:dyDescent="0.2">
      <c r="A28" s="78" t="s">
        <v>479</v>
      </c>
      <c r="B28" s="79"/>
      <c r="C28" s="79"/>
      <c r="D28" s="79"/>
      <c r="E28" s="79"/>
      <c r="F28" s="79"/>
      <c r="G28" s="79"/>
      <c r="H28" s="79"/>
      <c r="I28" s="79"/>
      <c r="J28" s="79"/>
      <c r="K28" s="78"/>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row>
    <row r="29" spans="1:52" x14ac:dyDescent="0.2">
      <c r="A29" s="78" t="s">
        <v>480</v>
      </c>
      <c r="B29" s="79"/>
      <c r="C29" s="79"/>
      <c r="D29" s="79"/>
      <c r="E29" s="79"/>
      <c r="F29" s="79"/>
      <c r="G29" s="79"/>
      <c r="H29" s="79"/>
      <c r="I29" s="79"/>
      <c r="J29" s="79"/>
      <c r="K29" s="78"/>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row>
    <row r="30" spans="1:52" x14ac:dyDescent="0.2">
      <c r="A30" s="78" t="s">
        <v>481</v>
      </c>
      <c r="B30" s="79"/>
      <c r="C30" s="79"/>
      <c r="D30" s="79"/>
      <c r="E30" s="79"/>
      <c r="F30" s="79"/>
      <c r="G30" s="79"/>
      <c r="H30" s="79"/>
      <c r="I30" s="79"/>
      <c r="J30" s="79"/>
      <c r="K30" s="78"/>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row>
    <row r="31" spans="1:52" x14ac:dyDescent="0.2">
      <c r="A31" s="78" t="s">
        <v>834</v>
      </c>
      <c r="B31" s="79"/>
      <c r="C31" s="79"/>
      <c r="D31" s="79"/>
      <c r="E31" s="79"/>
      <c r="F31" s="79"/>
      <c r="G31" s="79"/>
      <c r="H31" s="79"/>
      <c r="I31" s="79"/>
      <c r="J31" s="79"/>
      <c r="K31" s="78"/>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O31" s="842"/>
      <c r="AP31" s="842"/>
      <c r="AQ31" s="842"/>
      <c r="AR31" s="842"/>
      <c r="AS31" s="842"/>
      <c r="AT31" s="842"/>
      <c r="AU31" s="842"/>
      <c r="AV31" s="842"/>
      <c r="AW31" s="842"/>
      <c r="AX31" s="842"/>
      <c r="AY31" s="842"/>
      <c r="AZ31" s="842"/>
    </row>
    <row r="32" spans="1:52" x14ac:dyDescent="0.2">
      <c r="A32" s="78" t="s">
        <v>835</v>
      </c>
      <c r="B32" s="79"/>
      <c r="C32" s="79"/>
      <c r="D32" s="79"/>
      <c r="E32" s="79"/>
      <c r="F32" s="79"/>
      <c r="G32" s="79"/>
      <c r="H32" s="79"/>
      <c r="I32" s="79"/>
      <c r="J32" s="79"/>
      <c r="K32" s="78"/>
      <c r="L32" s="842"/>
      <c r="M32" s="842"/>
      <c r="N32" s="842"/>
      <c r="O32" s="842"/>
      <c r="P32" s="842"/>
      <c r="Q32" s="842"/>
      <c r="R32" s="842"/>
      <c r="S32" s="842"/>
      <c r="T32" s="842"/>
      <c r="U32" s="842"/>
      <c r="V32" s="842"/>
      <c r="W32" s="842"/>
      <c r="X32" s="842"/>
      <c r="Y32" s="842"/>
      <c r="Z32" s="842"/>
      <c r="AA32" s="842"/>
      <c r="AB32" s="842"/>
      <c r="AC32" s="842"/>
      <c r="AD32" s="842"/>
      <c r="AE32" s="842"/>
      <c r="AF32" s="842"/>
      <c r="AG32" s="842"/>
      <c r="AH32" s="842"/>
      <c r="AI32" s="842"/>
      <c r="AJ32" s="842"/>
      <c r="AK32" s="842"/>
      <c r="AL32" s="842"/>
      <c r="AM32" s="842"/>
      <c r="AN32" s="842"/>
      <c r="AO32" s="842"/>
      <c r="AP32" s="842"/>
      <c r="AQ32" s="842"/>
      <c r="AR32" s="842"/>
      <c r="AS32" s="842"/>
      <c r="AT32" s="842"/>
      <c r="AU32" s="842"/>
      <c r="AV32" s="842"/>
      <c r="AW32" s="842"/>
      <c r="AX32" s="842"/>
      <c r="AY32" s="842"/>
      <c r="AZ32" s="842"/>
    </row>
    <row r="33" spans="1:52" x14ac:dyDescent="0.2">
      <c r="A33" s="78" t="s">
        <v>836</v>
      </c>
      <c r="B33" s="79"/>
      <c r="C33" s="79"/>
      <c r="D33" s="79"/>
      <c r="E33" s="79"/>
      <c r="F33" s="79"/>
      <c r="G33" s="79"/>
      <c r="H33" s="79"/>
      <c r="I33" s="79"/>
      <c r="J33" s="79"/>
      <c r="K33" s="78"/>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O33" s="842"/>
      <c r="AP33" s="842"/>
      <c r="AQ33" s="842"/>
      <c r="AR33" s="842"/>
      <c r="AS33" s="842"/>
      <c r="AT33" s="842"/>
      <c r="AU33" s="842"/>
      <c r="AV33" s="842"/>
      <c r="AW33" s="842"/>
      <c r="AX33" s="842"/>
      <c r="AY33" s="842"/>
      <c r="AZ33" s="842"/>
    </row>
    <row r="34" spans="1:52" x14ac:dyDescent="0.2">
      <c r="A34" s="78" t="s">
        <v>837</v>
      </c>
      <c r="B34" s="79"/>
      <c r="C34" s="79"/>
      <c r="D34" s="79"/>
      <c r="E34" s="79"/>
      <c r="F34" s="79"/>
      <c r="G34" s="79"/>
      <c r="H34" s="79"/>
      <c r="I34" s="79"/>
      <c r="J34" s="79"/>
      <c r="K34" s="78"/>
      <c r="L34" s="842"/>
      <c r="M34" s="842"/>
      <c r="N34" s="842"/>
      <c r="O34" s="842"/>
      <c r="P34" s="842"/>
      <c r="Q34" s="842"/>
      <c r="R34" s="842"/>
      <c r="S34" s="842"/>
      <c r="T34" s="842"/>
      <c r="U34" s="842"/>
      <c r="V34" s="842"/>
      <c r="W34" s="842"/>
      <c r="X34" s="842"/>
      <c r="Y34" s="842"/>
      <c r="Z34" s="842"/>
      <c r="AA34" s="842"/>
      <c r="AB34" s="842"/>
      <c r="AC34" s="842"/>
      <c r="AD34" s="842"/>
      <c r="AE34" s="842"/>
      <c r="AF34" s="842"/>
      <c r="AG34" s="842"/>
      <c r="AH34" s="842"/>
      <c r="AI34" s="842"/>
      <c r="AJ34" s="842"/>
      <c r="AK34" s="842"/>
      <c r="AL34" s="842"/>
      <c r="AM34" s="842"/>
      <c r="AN34" s="842"/>
      <c r="AO34" s="842"/>
      <c r="AP34" s="842"/>
      <c r="AQ34" s="842"/>
      <c r="AR34" s="842"/>
      <c r="AS34" s="842"/>
      <c r="AT34" s="842"/>
      <c r="AU34" s="842"/>
      <c r="AV34" s="842"/>
      <c r="AW34" s="842"/>
      <c r="AX34" s="842"/>
      <c r="AY34" s="842"/>
      <c r="AZ34" s="842"/>
    </row>
    <row r="35" spans="1:52" x14ac:dyDescent="0.2">
      <c r="A35" s="78" t="s">
        <v>838</v>
      </c>
      <c r="B35" s="79"/>
      <c r="C35" s="79"/>
      <c r="D35" s="79"/>
      <c r="E35" s="79"/>
      <c r="F35" s="79"/>
      <c r="G35" s="79"/>
      <c r="H35" s="79"/>
      <c r="I35" s="79"/>
      <c r="J35" s="79"/>
      <c r="K35" s="78"/>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O35" s="842"/>
      <c r="AP35" s="842"/>
      <c r="AQ35" s="842"/>
      <c r="AR35" s="842"/>
      <c r="AS35" s="842"/>
      <c r="AT35" s="842"/>
      <c r="AU35" s="842"/>
      <c r="AV35" s="842"/>
      <c r="AW35" s="842"/>
      <c r="AX35" s="842"/>
      <c r="AY35" s="842"/>
      <c r="AZ35" s="842"/>
    </row>
    <row r="36" spans="1:52" x14ac:dyDescent="0.2">
      <c r="A36" s="842"/>
      <c r="B36" s="914"/>
      <c r="C36" s="914"/>
      <c r="D36" s="914"/>
      <c r="E36" s="914"/>
      <c r="F36" s="914"/>
      <c r="G36" s="914"/>
      <c r="H36" s="914"/>
      <c r="I36" s="914"/>
      <c r="J36" s="914"/>
      <c r="K36" s="842"/>
      <c r="L36" s="842"/>
      <c r="M36" s="842"/>
      <c r="N36" s="842"/>
      <c r="O36" s="842"/>
      <c r="P36" s="842"/>
      <c r="Q36" s="842"/>
      <c r="R36" s="842"/>
      <c r="S36" s="842"/>
      <c r="T36" s="842"/>
      <c r="U36" s="842"/>
      <c r="V36" s="842"/>
      <c r="W36" s="842"/>
      <c r="X36" s="842"/>
      <c r="Y36" s="842"/>
      <c r="Z36" s="842"/>
      <c r="AA36" s="842"/>
      <c r="AB36" s="842"/>
      <c r="AC36" s="842"/>
      <c r="AD36" s="842"/>
      <c r="AE36" s="842"/>
      <c r="AF36" s="842"/>
      <c r="AG36" s="842"/>
      <c r="AH36" s="842"/>
      <c r="AI36" s="842"/>
      <c r="AJ36" s="842"/>
      <c r="AK36" s="842"/>
      <c r="AL36" s="842"/>
      <c r="AM36" s="842"/>
      <c r="AN36" s="842"/>
      <c r="AO36" s="842"/>
      <c r="AP36" s="842"/>
      <c r="AQ36" s="842"/>
      <c r="AR36" s="842"/>
      <c r="AS36" s="842"/>
      <c r="AT36" s="842"/>
      <c r="AU36" s="842"/>
      <c r="AV36" s="842"/>
      <c r="AW36" s="842"/>
      <c r="AX36" s="842"/>
      <c r="AY36" s="842"/>
      <c r="AZ36" s="842"/>
    </row>
    <row r="37" spans="1:52" x14ac:dyDescent="0.2">
      <c r="A37" s="84" t="s">
        <v>288</v>
      </c>
      <c r="B37" s="82"/>
      <c r="C37" s="83">
        <f t="shared" ref="C37:J37" si="0">SUM(C6:C36)</f>
        <v>0</v>
      </c>
      <c r="D37" s="83">
        <f t="shared" si="0"/>
        <v>0</v>
      </c>
      <c r="E37" s="83">
        <f t="shared" si="0"/>
        <v>0</v>
      </c>
      <c r="F37" s="83">
        <f t="shared" si="0"/>
        <v>0</v>
      </c>
      <c r="G37" s="83">
        <f t="shared" si="0"/>
        <v>0</v>
      </c>
      <c r="H37" s="83">
        <f t="shared" si="0"/>
        <v>0</v>
      </c>
      <c r="I37" s="83">
        <f t="shared" si="0"/>
        <v>0</v>
      </c>
      <c r="J37" s="83">
        <f t="shared" si="0"/>
        <v>0</v>
      </c>
      <c r="K37" s="296"/>
      <c r="L37" s="842"/>
      <c r="M37" s="842"/>
      <c r="N37" s="842"/>
      <c r="O37" s="842"/>
      <c r="P37" s="842"/>
      <c r="Q37" s="842"/>
      <c r="R37" s="842"/>
      <c r="S37" s="842"/>
      <c r="T37" s="842"/>
      <c r="U37" s="842"/>
      <c r="V37" s="842"/>
      <c r="W37" s="842"/>
      <c r="X37" s="842"/>
      <c r="Y37" s="842"/>
      <c r="Z37" s="842"/>
      <c r="AA37" s="842"/>
      <c r="AB37" s="842"/>
      <c r="AC37" s="842"/>
      <c r="AD37" s="842"/>
      <c r="AE37" s="842"/>
      <c r="AF37" s="842"/>
      <c r="AG37" s="842"/>
      <c r="AH37" s="842"/>
      <c r="AI37" s="842"/>
      <c r="AJ37" s="842"/>
      <c r="AK37" s="842"/>
      <c r="AL37" s="842"/>
      <c r="AM37" s="842"/>
      <c r="AN37" s="842"/>
      <c r="AO37" s="842"/>
      <c r="AP37" s="842"/>
      <c r="AQ37" s="842"/>
      <c r="AR37" s="842"/>
      <c r="AS37" s="842"/>
      <c r="AT37" s="842"/>
      <c r="AU37" s="842"/>
      <c r="AV37" s="842"/>
      <c r="AW37" s="842"/>
      <c r="AX37" s="842"/>
      <c r="AY37" s="842"/>
      <c r="AZ37" s="842"/>
    </row>
    <row r="38" spans="1:52" x14ac:dyDescent="0.2">
      <c r="A38" s="842"/>
      <c r="B38" s="914"/>
      <c r="C38" s="914"/>
      <c r="D38" s="914"/>
      <c r="E38" s="914"/>
      <c r="F38" s="914"/>
      <c r="G38" s="914"/>
      <c r="H38" s="914"/>
      <c r="I38" s="914"/>
      <c r="J38" s="914"/>
      <c r="K38" s="842"/>
      <c r="L38" s="842"/>
      <c r="M38" s="842"/>
      <c r="N38" s="842"/>
      <c r="O38" s="842"/>
      <c r="P38" s="842"/>
      <c r="Q38" s="842"/>
      <c r="R38" s="842"/>
      <c r="S38" s="842"/>
      <c r="T38" s="842"/>
      <c r="U38" s="842"/>
      <c r="V38" s="842"/>
      <c r="W38" s="842"/>
      <c r="X38" s="842"/>
      <c r="Y38" s="842"/>
      <c r="Z38" s="842"/>
      <c r="AA38" s="842"/>
      <c r="AB38" s="842"/>
      <c r="AC38" s="842"/>
      <c r="AD38" s="842"/>
      <c r="AE38" s="842"/>
      <c r="AF38" s="842"/>
      <c r="AG38" s="842"/>
      <c r="AH38" s="842"/>
      <c r="AI38" s="842"/>
      <c r="AJ38" s="842"/>
      <c r="AK38" s="842"/>
      <c r="AL38" s="842"/>
      <c r="AM38" s="842"/>
      <c r="AN38" s="842"/>
      <c r="AO38" s="842"/>
      <c r="AP38" s="842"/>
      <c r="AQ38" s="842"/>
      <c r="AR38" s="842"/>
      <c r="AS38" s="842"/>
      <c r="AT38" s="842"/>
      <c r="AU38" s="842"/>
      <c r="AV38" s="842"/>
      <c r="AW38" s="842"/>
      <c r="AX38" s="842"/>
      <c r="AY38" s="842"/>
      <c r="AZ38" s="842"/>
    </row>
    <row r="39" spans="1:52" x14ac:dyDescent="0.2">
      <c r="A39" s="842"/>
      <c r="B39" s="914"/>
      <c r="C39" s="914"/>
      <c r="D39" s="914"/>
      <c r="E39" s="914"/>
      <c r="F39" s="914"/>
      <c r="G39" s="914"/>
      <c r="H39" s="914"/>
      <c r="I39" s="914"/>
      <c r="J39" s="914"/>
      <c r="K39" s="842"/>
      <c r="L39" s="842"/>
      <c r="M39" s="842"/>
      <c r="N39" s="842"/>
      <c r="O39" s="842"/>
      <c r="P39" s="842"/>
      <c r="Q39" s="842"/>
      <c r="R39" s="842"/>
      <c r="S39" s="842"/>
      <c r="T39" s="842"/>
      <c r="U39" s="842"/>
      <c r="V39" s="842"/>
      <c r="W39" s="842"/>
      <c r="X39" s="842"/>
      <c r="Y39" s="842"/>
      <c r="Z39" s="842"/>
      <c r="AA39" s="842"/>
      <c r="AB39" s="842"/>
      <c r="AC39" s="842"/>
      <c r="AD39" s="842"/>
      <c r="AE39" s="842"/>
      <c r="AF39" s="842"/>
      <c r="AG39" s="842"/>
      <c r="AH39" s="842"/>
      <c r="AI39" s="842"/>
      <c r="AJ39" s="842"/>
      <c r="AK39" s="842"/>
      <c r="AL39" s="842"/>
      <c r="AM39" s="842"/>
      <c r="AN39" s="842"/>
      <c r="AO39" s="842"/>
      <c r="AP39" s="842"/>
      <c r="AQ39" s="842"/>
      <c r="AR39" s="842"/>
      <c r="AS39" s="842"/>
      <c r="AT39" s="842"/>
      <c r="AU39" s="842"/>
      <c r="AV39" s="842"/>
      <c r="AW39" s="842"/>
      <c r="AX39" s="842"/>
      <c r="AY39" s="842"/>
      <c r="AZ39" s="842"/>
    </row>
    <row r="40" spans="1:52" x14ac:dyDescent="0.2">
      <c r="A40" s="842"/>
      <c r="B40" s="914"/>
      <c r="C40" s="914"/>
      <c r="D40" s="914"/>
      <c r="E40" s="914"/>
      <c r="F40" s="914"/>
      <c r="G40" s="914"/>
      <c r="H40" s="914"/>
      <c r="I40" s="914"/>
      <c r="J40" s="914"/>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842"/>
      <c r="AS40" s="842"/>
      <c r="AT40" s="842"/>
      <c r="AU40" s="842"/>
      <c r="AV40" s="842"/>
      <c r="AW40" s="842"/>
      <c r="AX40" s="842"/>
      <c r="AY40" s="842"/>
      <c r="AZ40" s="842"/>
    </row>
    <row r="41" spans="1:52" x14ac:dyDescent="0.2">
      <c r="A41" s="842"/>
      <c r="B41" s="914"/>
      <c r="C41" s="914"/>
      <c r="D41" s="914"/>
      <c r="E41" s="914"/>
      <c r="F41" s="914"/>
      <c r="G41" s="914"/>
      <c r="H41" s="914"/>
      <c r="I41" s="914"/>
      <c r="J41" s="914"/>
      <c r="K41" s="842"/>
      <c r="L41" s="842"/>
      <c r="M41" s="842"/>
      <c r="N41" s="842"/>
      <c r="O41" s="842"/>
      <c r="P41" s="842"/>
      <c r="Q41" s="842"/>
      <c r="R41" s="842"/>
      <c r="S41" s="842"/>
      <c r="T41" s="842"/>
      <c r="U41" s="842"/>
      <c r="V41" s="842"/>
      <c r="W41" s="842"/>
      <c r="X41" s="842"/>
      <c r="Y41" s="842"/>
      <c r="Z41" s="842"/>
      <c r="AA41" s="842"/>
      <c r="AB41" s="842"/>
      <c r="AC41" s="842"/>
      <c r="AD41" s="842"/>
      <c r="AE41" s="842"/>
      <c r="AF41" s="842"/>
      <c r="AG41" s="842"/>
      <c r="AH41" s="842"/>
      <c r="AI41" s="842"/>
      <c r="AJ41" s="842"/>
      <c r="AK41" s="842"/>
      <c r="AL41" s="842"/>
      <c r="AM41" s="842"/>
      <c r="AN41" s="842"/>
      <c r="AO41" s="842"/>
      <c r="AP41" s="842"/>
      <c r="AQ41" s="842"/>
      <c r="AR41" s="842"/>
      <c r="AS41" s="842"/>
      <c r="AT41" s="842"/>
      <c r="AU41" s="842"/>
      <c r="AV41" s="842"/>
      <c r="AW41" s="842"/>
      <c r="AX41" s="842"/>
      <c r="AY41" s="842"/>
      <c r="AZ41" s="842"/>
    </row>
    <row r="42" spans="1:52" x14ac:dyDescent="0.2">
      <c r="A42" s="842"/>
      <c r="B42" s="914"/>
      <c r="C42" s="914"/>
      <c r="D42" s="914"/>
      <c r="E42" s="914"/>
      <c r="F42" s="914"/>
      <c r="G42" s="914"/>
      <c r="H42" s="914"/>
      <c r="I42" s="914"/>
      <c r="J42" s="914"/>
      <c r="K42" s="842"/>
      <c r="L42" s="842"/>
      <c r="M42" s="842"/>
      <c r="N42" s="842"/>
      <c r="O42" s="842"/>
      <c r="P42" s="842"/>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2"/>
      <c r="AR42" s="842"/>
      <c r="AS42" s="842"/>
      <c r="AT42" s="842"/>
      <c r="AU42" s="842"/>
      <c r="AV42" s="842"/>
      <c r="AW42" s="842"/>
      <c r="AX42" s="842"/>
      <c r="AY42" s="842"/>
      <c r="AZ42" s="842"/>
    </row>
    <row r="43" spans="1:52" x14ac:dyDescent="0.2">
      <c r="A43" s="842"/>
      <c r="B43" s="914"/>
      <c r="C43" s="914"/>
      <c r="D43" s="914"/>
      <c r="E43" s="914"/>
      <c r="F43" s="914"/>
      <c r="G43" s="914"/>
      <c r="H43" s="914"/>
      <c r="I43" s="914"/>
      <c r="J43" s="914"/>
      <c r="K43" s="842"/>
      <c r="L43" s="842"/>
      <c r="M43" s="842"/>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842"/>
      <c r="AK43" s="842"/>
      <c r="AL43" s="842"/>
      <c r="AM43" s="842"/>
      <c r="AN43" s="842"/>
      <c r="AO43" s="842"/>
      <c r="AP43" s="842"/>
      <c r="AQ43" s="842"/>
      <c r="AR43" s="842"/>
      <c r="AS43" s="842"/>
      <c r="AT43" s="842"/>
      <c r="AU43" s="842"/>
      <c r="AV43" s="842"/>
      <c r="AW43" s="842"/>
      <c r="AX43" s="842"/>
      <c r="AY43" s="842"/>
      <c r="AZ43" s="842"/>
    </row>
    <row r="44" spans="1:52" x14ac:dyDescent="0.2">
      <c r="A44" s="842"/>
      <c r="B44" s="914"/>
      <c r="C44" s="914"/>
      <c r="D44" s="914"/>
      <c r="E44" s="914"/>
      <c r="F44" s="914"/>
      <c r="G44" s="914"/>
      <c r="H44" s="914"/>
      <c r="I44" s="914"/>
      <c r="J44" s="914"/>
      <c r="K44" s="842"/>
      <c r="L44" s="842"/>
      <c r="M44" s="842"/>
      <c r="N44" s="842"/>
      <c r="O44" s="842"/>
      <c r="P44" s="842"/>
      <c r="Q44" s="842"/>
      <c r="R44" s="842"/>
      <c r="S44" s="842"/>
      <c r="T44" s="842"/>
      <c r="U44" s="842"/>
      <c r="V44" s="842"/>
      <c r="W44" s="842"/>
      <c r="X44" s="842"/>
      <c r="Y44" s="842"/>
      <c r="Z44" s="842"/>
      <c r="AA44" s="842"/>
      <c r="AB44" s="842"/>
      <c r="AC44" s="842"/>
      <c r="AD44" s="842"/>
      <c r="AE44" s="842"/>
      <c r="AF44" s="842"/>
      <c r="AG44" s="842"/>
      <c r="AH44" s="842"/>
      <c r="AI44" s="842"/>
      <c r="AJ44" s="842"/>
      <c r="AK44" s="842"/>
      <c r="AL44" s="842"/>
      <c r="AM44" s="842"/>
      <c r="AN44" s="842"/>
      <c r="AO44" s="842"/>
      <c r="AP44" s="842"/>
      <c r="AQ44" s="842"/>
      <c r="AR44" s="842"/>
      <c r="AS44" s="842"/>
      <c r="AT44" s="842"/>
      <c r="AU44" s="842"/>
      <c r="AV44" s="842"/>
      <c r="AW44" s="842"/>
      <c r="AX44" s="842"/>
      <c r="AY44" s="842"/>
      <c r="AZ44" s="842"/>
    </row>
    <row r="45" spans="1:52" x14ac:dyDescent="0.2">
      <c r="A45" s="842"/>
      <c r="B45" s="914"/>
      <c r="C45" s="914"/>
      <c r="D45" s="914"/>
      <c r="E45" s="914"/>
      <c r="F45" s="914"/>
      <c r="G45" s="914"/>
      <c r="H45" s="914"/>
      <c r="I45" s="914"/>
      <c r="J45" s="914"/>
      <c r="K45" s="842"/>
      <c r="L45" s="842"/>
      <c r="M45" s="842"/>
      <c r="N45" s="842"/>
      <c r="O45" s="842"/>
      <c r="P45" s="842"/>
      <c r="Q45" s="842"/>
      <c r="R45" s="842"/>
      <c r="S45" s="842"/>
      <c r="T45" s="842"/>
      <c r="U45" s="842"/>
      <c r="V45" s="842"/>
      <c r="W45" s="842"/>
      <c r="X45" s="842"/>
      <c r="Y45" s="842"/>
      <c r="Z45" s="842"/>
      <c r="AA45" s="842"/>
      <c r="AB45" s="842"/>
      <c r="AC45" s="842"/>
      <c r="AD45" s="842"/>
      <c r="AE45" s="842"/>
      <c r="AF45" s="842"/>
      <c r="AG45" s="842"/>
      <c r="AH45" s="842"/>
      <c r="AI45" s="842"/>
      <c r="AJ45" s="842"/>
      <c r="AK45" s="842"/>
      <c r="AL45" s="842"/>
      <c r="AM45" s="842"/>
      <c r="AN45" s="842"/>
      <c r="AO45" s="842"/>
      <c r="AP45" s="842"/>
      <c r="AQ45" s="842"/>
      <c r="AR45" s="842"/>
      <c r="AS45" s="842"/>
      <c r="AT45" s="842"/>
      <c r="AU45" s="842"/>
      <c r="AV45" s="842"/>
      <c r="AW45" s="842"/>
      <c r="AX45" s="842"/>
      <c r="AY45" s="842"/>
      <c r="AZ45" s="842"/>
    </row>
    <row r="46" spans="1:52" x14ac:dyDescent="0.2">
      <c r="A46" s="842"/>
      <c r="B46" s="914"/>
      <c r="C46" s="914"/>
      <c r="D46" s="914"/>
      <c r="E46" s="914"/>
      <c r="F46" s="914"/>
      <c r="G46" s="914"/>
      <c r="H46" s="914"/>
      <c r="I46" s="914"/>
      <c r="J46" s="914"/>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842"/>
      <c r="AM46" s="842"/>
      <c r="AN46" s="842"/>
      <c r="AO46" s="842"/>
      <c r="AP46" s="842"/>
      <c r="AQ46" s="842"/>
      <c r="AR46" s="842"/>
      <c r="AS46" s="842"/>
      <c r="AT46" s="842"/>
      <c r="AU46" s="842"/>
      <c r="AV46" s="842"/>
      <c r="AW46" s="842"/>
      <c r="AX46" s="842"/>
      <c r="AY46" s="842"/>
      <c r="AZ46" s="842"/>
    </row>
    <row r="47" spans="1:52" x14ac:dyDescent="0.2">
      <c r="A47" s="842"/>
      <c r="B47" s="914"/>
      <c r="C47" s="914"/>
      <c r="D47" s="914"/>
      <c r="E47" s="914"/>
      <c r="F47" s="914"/>
      <c r="G47" s="914"/>
      <c r="H47" s="914"/>
      <c r="I47" s="914"/>
      <c r="J47" s="914"/>
      <c r="K47" s="842"/>
      <c r="L47" s="842"/>
      <c r="M47" s="842"/>
      <c r="N47" s="842"/>
      <c r="O47" s="842"/>
      <c r="P47" s="842"/>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2"/>
      <c r="AR47" s="842"/>
      <c r="AS47" s="842"/>
      <c r="AT47" s="842"/>
      <c r="AU47" s="842"/>
      <c r="AV47" s="842"/>
      <c r="AW47" s="842"/>
      <c r="AX47" s="842"/>
      <c r="AY47" s="842"/>
      <c r="AZ47" s="842"/>
    </row>
    <row r="48" spans="1:52" x14ac:dyDescent="0.2">
      <c r="A48" s="842"/>
      <c r="B48" s="914"/>
      <c r="C48" s="914"/>
      <c r="D48" s="914"/>
      <c r="E48" s="914"/>
      <c r="F48" s="914"/>
      <c r="G48" s="914"/>
      <c r="H48" s="914"/>
      <c r="I48" s="914"/>
      <c r="J48" s="914"/>
      <c r="K48" s="842"/>
      <c r="L48" s="842"/>
      <c r="M48" s="842"/>
      <c r="N48" s="842"/>
      <c r="O48" s="842"/>
      <c r="P48" s="842"/>
      <c r="Q48" s="842"/>
      <c r="R48" s="842"/>
      <c r="S48" s="842"/>
      <c r="T48" s="842"/>
      <c r="U48" s="842"/>
      <c r="V48" s="842"/>
      <c r="W48" s="842"/>
      <c r="X48" s="842"/>
      <c r="Y48" s="842"/>
      <c r="Z48" s="842"/>
      <c r="AA48" s="842"/>
      <c r="AB48" s="842"/>
      <c r="AC48" s="842"/>
      <c r="AD48" s="842"/>
      <c r="AE48" s="842"/>
      <c r="AF48" s="842"/>
      <c r="AG48" s="842"/>
      <c r="AH48" s="842"/>
      <c r="AI48" s="842"/>
      <c r="AJ48" s="842"/>
      <c r="AK48" s="842"/>
      <c r="AL48" s="842"/>
      <c r="AM48" s="842"/>
      <c r="AN48" s="842"/>
      <c r="AO48" s="842"/>
      <c r="AP48" s="842"/>
      <c r="AQ48" s="842"/>
      <c r="AR48" s="842"/>
      <c r="AS48" s="842"/>
      <c r="AT48" s="842"/>
      <c r="AU48" s="842"/>
      <c r="AV48" s="842"/>
      <c r="AW48" s="842"/>
      <c r="AX48" s="842"/>
      <c r="AY48" s="842"/>
      <c r="AZ48" s="842"/>
    </row>
    <row r="49" spans="1:52" x14ac:dyDescent="0.2">
      <c r="A49" s="842"/>
      <c r="B49" s="914"/>
      <c r="C49" s="914"/>
      <c r="D49" s="914"/>
      <c r="E49" s="914"/>
      <c r="F49" s="914"/>
      <c r="G49" s="914"/>
      <c r="H49" s="914"/>
      <c r="I49" s="914"/>
      <c r="J49" s="914"/>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42"/>
      <c r="AU49" s="842"/>
      <c r="AV49" s="842"/>
      <c r="AW49" s="842"/>
      <c r="AX49" s="842"/>
      <c r="AY49" s="842"/>
      <c r="AZ49" s="842"/>
    </row>
    <row r="50" spans="1:52" x14ac:dyDescent="0.2">
      <c r="A50" s="842"/>
      <c r="B50" s="914"/>
      <c r="C50" s="914"/>
      <c r="D50" s="914"/>
      <c r="E50" s="914"/>
      <c r="F50" s="914"/>
      <c r="G50" s="914"/>
      <c r="H50" s="914"/>
      <c r="I50" s="914"/>
      <c r="J50" s="914"/>
      <c r="K50" s="842"/>
      <c r="L50" s="842"/>
      <c r="M50" s="842"/>
      <c r="N50" s="842"/>
      <c r="O50" s="842"/>
      <c r="P50" s="842"/>
      <c r="Q50" s="842"/>
      <c r="R50" s="842"/>
      <c r="S50" s="842"/>
      <c r="T50" s="842"/>
      <c r="U50" s="842"/>
      <c r="V50" s="842"/>
      <c r="W50" s="842"/>
      <c r="X50" s="842"/>
      <c r="Y50" s="842"/>
      <c r="Z50" s="842"/>
      <c r="AA50" s="842"/>
      <c r="AB50" s="842"/>
      <c r="AC50" s="842"/>
      <c r="AD50" s="842"/>
      <c r="AE50" s="842"/>
      <c r="AF50" s="842"/>
      <c r="AG50" s="842"/>
      <c r="AH50" s="842"/>
      <c r="AI50" s="842"/>
      <c r="AJ50" s="842"/>
      <c r="AK50" s="842"/>
      <c r="AL50" s="842"/>
      <c r="AM50" s="842"/>
      <c r="AN50" s="842"/>
      <c r="AO50" s="842"/>
      <c r="AP50" s="842"/>
      <c r="AQ50" s="842"/>
      <c r="AR50" s="842"/>
      <c r="AS50" s="842"/>
      <c r="AT50" s="842"/>
      <c r="AU50" s="842"/>
      <c r="AV50" s="842"/>
      <c r="AW50" s="842"/>
      <c r="AX50" s="842"/>
      <c r="AY50" s="842"/>
      <c r="AZ50" s="842"/>
    </row>
    <row r="51" spans="1:52" x14ac:dyDescent="0.2">
      <c r="A51" s="842"/>
      <c r="B51" s="914"/>
      <c r="C51" s="914"/>
      <c r="D51" s="914"/>
      <c r="E51" s="914"/>
      <c r="F51" s="914"/>
      <c r="G51" s="914"/>
      <c r="H51" s="914"/>
      <c r="I51" s="914"/>
      <c r="J51" s="914"/>
      <c r="K51" s="842"/>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2"/>
      <c r="AL51" s="842"/>
      <c r="AM51" s="842"/>
      <c r="AN51" s="842"/>
      <c r="AO51" s="842"/>
      <c r="AP51" s="842"/>
      <c r="AQ51" s="842"/>
      <c r="AR51" s="842"/>
      <c r="AS51" s="842"/>
      <c r="AT51" s="842"/>
      <c r="AU51" s="842"/>
      <c r="AV51" s="842"/>
      <c r="AW51" s="842"/>
      <c r="AX51" s="842"/>
      <c r="AY51" s="842"/>
      <c r="AZ51" s="842"/>
    </row>
    <row r="52" spans="1:52" x14ac:dyDescent="0.2">
      <c r="A52" s="842"/>
      <c r="B52" s="914"/>
      <c r="C52" s="914"/>
      <c r="D52" s="914"/>
      <c r="E52" s="914"/>
      <c r="F52" s="914"/>
      <c r="G52" s="914"/>
      <c r="H52" s="914"/>
      <c r="I52" s="914"/>
      <c r="J52" s="914"/>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row>
    <row r="53" spans="1:52" x14ac:dyDescent="0.2">
      <c r="A53" s="842"/>
      <c r="B53" s="914"/>
      <c r="C53" s="914"/>
      <c r="D53" s="914"/>
      <c r="E53" s="914"/>
      <c r="F53" s="914"/>
      <c r="G53" s="914"/>
      <c r="H53" s="914"/>
      <c r="I53" s="914"/>
      <c r="J53" s="914"/>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42"/>
      <c r="AM53" s="842"/>
      <c r="AN53" s="842"/>
      <c r="AO53" s="842"/>
      <c r="AP53" s="842"/>
      <c r="AQ53" s="842"/>
      <c r="AR53" s="842"/>
      <c r="AS53" s="842"/>
      <c r="AT53" s="842"/>
      <c r="AU53" s="842"/>
      <c r="AV53" s="842"/>
      <c r="AW53" s="842"/>
      <c r="AX53" s="842"/>
      <c r="AY53" s="842"/>
      <c r="AZ53" s="842"/>
    </row>
    <row r="54" spans="1:52" x14ac:dyDescent="0.2">
      <c r="A54" s="842"/>
      <c r="B54" s="914"/>
      <c r="C54" s="914"/>
      <c r="D54" s="914"/>
      <c r="E54" s="914"/>
      <c r="F54" s="914"/>
      <c r="G54" s="914"/>
      <c r="H54" s="914"/>
      <c r="I54" s="914"/>
      <c r="J54" s="914"/>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842"/>
      <c r="AM54" s="842"/>
      <c r="AN54" s="842"/>
      <c r="AO54" s="842"/>
      <c r="AP54" s="842"/>
      <c r="AQ54" s="842"/>
      <c r="AR54" s="842"/>
      <c r="AS54" s="842"/>
      <c r="AT54" s="842"/>
      <c r="AU54" s="842"/>
      <c r="AV54" s="842"/>
      <c r="AW54" s="842"/>
      <c r="AX54" s="842"/>
      <c r="AY54" s="842"/>
      <c r="AZ54" s="842"/>
    </row>
    <row r="55" spans="1:52" x14ac:dyDescent="0.2">
      <c r="A55" s="842"/>
      <c r="B55" s="914"/>
      <c r="C55" s="914"/>
      <c r="D55" s="914"/>
      <c r="E55" s="914"/>
      <c r="F55" s="914"/>
      <c r="G55" s="914"/>
      <c r="H55" s="914"/>
      <c r="I55" s="914"/>
      <c r="J55" s="914"/>
      <c r="K55" s="842"/>
      <c r="L55" s="842"/>
      <c r="M55" s="842"/>
      <c r="N55" s="842"/>
      <c r="O55" s="842"/>
      <c r="P55" s="842"/>
      <c r="Q55" s="842"/>
      <c r="R55" s="842"/>
      <c r="S55" s="842"/>
      <c r="T55" s="842"/>
      <c r="U55" s="842"/>
      <c r="V55" s="842"/>
      <c r="W55" s="842"/>
      <c r="X55" s="842"/>
      <c r="Y55" s="842"/>
      <c r="Z55" s="842"/>
      <c r="AA55" s="842"/>
      <c r="AB55" s="842"/>
      <c r="AC55" s="842"/>
      <c r="AD55" s="842"/>
      <c r="AE55" s="842"/>
      <c r="AF55" s="842"/>
      <c r="AG55" s="842"/>
      <c r="AH55" s="842"/>
      <c r="AI55" s="842"/>
      <c r="AJ55" s="842"/>
      <c r="AK55" s="842"/>
      <c r="AL55" s="842"/>
      <c r="AM55" s="842"/>
      <c r="AN55" s="842"/>
      <c r="AO55" s="842"/>
      <c r="AP55" s="842"/>
      <c r="AQ55" s="842"/>
      <c r="AR55" s="842"/>
      <c r="AS55" s="842"/>
      <c r="AT55" s="842"/>
      <c r="AU55" s="842"/>
      <c r="AV55" s="842"/>
      <c r="AW55" s="842"/>
      <c r="AX55" s="842"/>
      <c r="AY55" s="842"/>
      <c r="AZ55" s="842"/>
    </row>
    <row r="56" spans="1:52" x14ac:dyDescent="0.2">
      <c r="A56" s="842"/>
      <c r="B56" s="914"/>
      <c r="C56" s="914"/>
      <c r="D56" s="914"/>
      <c r="E56" s="914"/>
      <c r="F56" s="914"/>
      <c r="G56" s="914"/>
      <c r="H56" s="914"/>
      <c r="I56" s="914"/>
      <c r="J56" s="914"/>
      <c r="K56" s="842"/>
      <c r="L56" s="842"/>
      <c r="M56" s="842"/>
      <c r="N56" s="842"/>
      <c r="O56" s="842"/>
      <c r="P56" s="842"/>
      <c r="Q56" s="842"/>
      <c r="R56" s="842"/>
      <c r="S56" s="842"/>
      <c r="T56" s="842"/>
      <c r="U56" s="842"/>
      <c r="V56" s="842"/>
      <c r="W56" s="842"/>
      <c r="X56" s="842"/>
      <c r="Y56" s="842"/>
      <c r="Z56" s="842"/>
      <c r="AA56" s="842"/>
      <c r="AB56" s="842"/>
      <c r="AC56" s="842"/>
      <c r="AD56" s="842"/>
      <c r="AE56" s="842"/>
      <c r="AF56" s="842"/>
      <c r="AG56" s="842"/>
      <c r="AH56" s="842"/>
      <c r="AI56" s="842"/>
      <c r="AJ56" s="842"/>
      <c r="AK56" s="842"/>
      <c r="AL56" s="842"/>
      <c r="AM56" s="842"/>
      <c r="AN56" s="842"/>
      <c r="AO56" s="842"/>
      <c r="AP56" s="842"/>
      <c r="AQ56" s="842"/>
      <c r="AR56" s="842"/>
      <c r="AS56" s="842"/>
      <c r="AT56" s="842"/>
      <c r="AU56" s="842"/>
      <c r="AV56" s="842"/>
      <c r="AW56" s="842"/>
      <c r="AX56" s="842"/>
      <c r="AY56" s="842"/>
      <c r="AZ56" s="842"/>
    </row>
    <row r="57" spans="1:52" x14ac:dyDescent="0.2">
      <c r="A57" s="842"/>
      <c r="B57" s="914"/>
      <c r="C57" s="914"/>
      <c r="D57" s="914"/>
      <c r="E57" s="914"/>
      <c r="F57" s="914"/>
      <c r="G57" s="914"/>
      <c r="H57" s="914"/>
      <c r="I57" s="914"/>
      <c r="J57" s="914"/>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c r="AO57" s="842"/>
      <c r="AP57" s="842"/>
      <c r="AQ57" s="842"/>
      <c r="AR57" s="842"/>
      <c r="AS57" s="842"/>
      <c r="AT57" s="842"/>
      <c r="AU57" s="842"/>
      <c r="AV57" s="842"/>
      <c r="AW57" s="842"/>
      <c r="AX57" s="842"/>
      <c r="AY57" s="842"/>
      <c r="AZ57" s="842"/>
    </row>
    <row r="58" spans="1:52" x14ac:dyDescent="0.2">
      <c r="A58" s="842"/>
      <c r="B58" s="914"/>
      <c r="C58" s="914"/>
      <c r="D58" s="914"/>
      <c r="E58" s="914"/>
      <c r="F58" s="914"/>
      <c r="G58" s="914"/>
      <c r="H58" s="914"/>
      <c r="I58" s="914"/>
      <c r="J58" s="914"/>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row>
    <row r="59" spans="1:52" x14ac:dyDescent="0.2">
      <c r="A59" s="842"/>
      <c r="B59" s="914"/>
      <c r="C59" s="914"/>
      <c r="D59" s="914"/>
      <c r="E59" s="914"/>
      <c r="F59" s="914"/>
      <c r="G59" s="914"/>
      <c r="H59" s="914"/>
      <c r="I59" s="914"/>
      <c r="J59" s="914"/>
      <c r="K59" s="842"/>
      <c r="L59" s="842"/>
      <c r="M59" s="842"/>
      <c r="N59" s="842"/>
      <c r="O59" s="842"/>
      <c r="P59" s="842"/>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c r="AO59" s="842"/>
      <c r="AP59" s="842"/>
      <c r="AQ59" s="842"/>
      <c r="AR59" s="842"/>
      <c r="AS59" s="842"/>
      <c r="AT59" s="842"/>
      <c r="AU59" s="842"/>
      <c r="AV59" s="842"/>
      <c r="AW59" s="842"/>
      <c r="AX59" s="842"/>
      <c r="AY59" s="842"/>
      <c r="AZ59" s="842"/>
    </row>
    <row r="60" spans="1:52" x14ac:dyDescent="0.2">
      <c r="A60" s="842"/>
      <c r="B60" s="914"/>
      <c r="C60" s="914"/>
      <c r="D60" s="914"/>
      <c r="E60" s="914"/>
      <c r="F60" s="914"/>
      <c r="G60" s="914"/>
      <c r="H60" s="914"/>
      <c r="I60" s="914"/>
      <c r="J60" s="914"/>
      <c r="K60" s="842"/>
      <c r="L60" s="842"/>
      <c r="M60" s="842"/>
      <c r="N60" s="842"/>
      <c r="O60" s="842"/>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2"/>
      <c r="AR60" s="842"/>
      <c r="AS60" s="842"/>
      <c r="AT60" s="842"/>
      <c r="AU60" s="842"/>
      <c r="AV60" s="842"/>
      <c r="AW60" s="842"/>
      <c r="AX60" s="842"/>
      <c r="AY60" s="842"/>
      <c r="AZ60" s="842"/>
    </row>
    <row r="61" spans="1:52" x14ac:dyDescent="0.2">
      <c r="A61" s="842"/>
      <c r="B61" s="914"/>
      <c r="C61" s="914"/>
      <c r="D61" s="914"/>
      <c r="E61" s="914"/>
      <c r="F61" s="914"/>
      <c r="G61" s="914"/>
      <c r="H61" s="914"/>
      <c r="I61" s="914"/>
      <c r="J61" s="914"/>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c r="AO61" s="842"/>
      <c r="AP61" s="842"/>
      <c r="AQ61" s="842"/>
      <c r="AR61" s="842"/>
      <c r="AS61" s="842"/>
      <c r="AT61" s="842"/>
      <c r="AU61" s="842"/>
      <c r="AV61" s="842"/>
      <c r="AW61" s="842"/>
      <c r="AX61" s="842"/>
      <c r="AY61" s="842"/>
      <c r="AZ61" s="842"/>
    </row>
    <row r="62" spans="1:52" x14ac:dyDescent="0.2">
      <c r="A62" s="842"/>
      <c r="B62" s="914"/>
      <c r="C62" s="914"/>
      <c r="D62" s="914"/>
      <c r="E62" s="914"/>
      <c r="F62" s="914"/>
      <c r="G62" s="914"/>
      <c r="H62" s="914"/>
      <c r="I62" s="914"/>
      <c r="J62" s="914"/>
      <c r="K62" s="842"/>
      <c r="L62" s="842"/>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2"/>
      <c r="AR62" s="842"/>
      <c r="AS62" s="842"/>
      <c r="AT62" s="842"/>
      <c r="AU62" s="842"/>
      <c r="AV62" s="842"/>
      <c r="AW62" s="842"/>
      <c r="AX62" s="842"/>
      <c r="AY62" s="842"/>
      <c r="AZ62" s="842"/>
    </row>
    <row r="63" spans="1:52" x14ac:dyDescent="0.2">
      <c r="A63" s="842"/>
      <c r="B63" s="914"/>
      <c r="C63" s="914"/>
      <c r="D63" s="914"/>
      <c r="E63" s="914"/>
      <c r="F63" s="914"/>
      <c r="G63" s="914"/>
      <c r="H63" s="914"/>
      <c r="I63" s="914"/>
      <c r="J63" s="914"/>
      <c r="K63" s="842"/>
      <c r="L63" s="842"/>
      <c r="M63" s="842"/>
      <c r="N63" s="842"/>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2"/>
      <c r="AR63" s="842"/>
      <c r="AS63" s="842"/>
      <c r="AT63" s="842"/>
      <c r="AU63" s="842"/>
      <c r="AV63" s="842"/>
      <c r="AW63" s="842"/>
      <c r="AX63" s="842"/>
      <c r="AY63" s="842"/>
      <c r="AZ63" s="842"/>
    </row>
    <row r="64" spans="1:52" x14ac:dyDescent="0.2">
      <c r="A64" s="842"/>
      <c r="B64" s="914"/>
      <c r="C64" s="914"/>
      <c r="D64" s="914"/>
      <c r="E64" s="914"/>
      <c r="F64" s="914"/>
      <c r="G64" s="914"/>
      <c r="H64" s="914"/>
      <c r="I64" s="914"/>
      <c r="J64" s="914"/>
      <c r="K64" s="842"/>
      <c r="L64" s="842"/>
      <c r="M64" s="842"/>
      <c r="N64" s="842"/>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2"/>
      <c r="AY64" s="842"/>
      <c r="AZ64" s="842"/>
    </row>
    <row r="65" spans="1:52" x14ac:dyDescent="0.2">
      <c r="A65" s="842"/>
      <c r="B65" s="914"/>
      <c r="C65" s="914"/>
      <c r="D65" s="914"/>
      <c r="E65" s="914"/>
      <c r="F65" s="914"/>
      <c r="G65" s="914"/>
      <c r="H65" s="914"/>
      <c r="I65" s="914"/>
      <c r="J65" s="914"/>
      <c r="K65" s="842"/>
      <c r="L65" s="842"/>
      <c r="M65" s="842"/>
      <c r="N65" s="842"/>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c r="AT65" s="842"/>
      <c r="AU65" s="842"/>
      <c r="AV65" s="842"/>
      <c r="AW65" s="842"/>
      <c r="AX65" s="842"/>
      <c r="AY65" s="842"/>
      <c r="AZ65" s="842"/>
    </row>
    <row r="66" spans="1:52" x14ac:dyDescent="0.2">
      <c r="A66" s="842"/>
      <c r="B66" s="914"/>
      <c r="C66" s="914"/>
      <c r="D66" s="914"/>
      <c r="E66" s="914"/>
      <c r="F66" s="914"/>
      <c r="G66" s="914"/>
      <c r="H66" s="914"/>
      <c r="I66" s="914"/>
      <c r="J66" s="914"/>
      <c r="K66" s="842"/>
      <c r="L66" s="842"/>
      <c r="M66" s="842"/>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2"/>
      <c r="AX66" s="842"/>
      <c r="AY66" s="842"/>
      <c r="AZ66" s="842"/>
    </row>
    <row r="67" spans="1:52" x14ac:dyDescent="0.2">
      <c r="A67" s="842"/>
      <c r="B67" s="914"/>
      <c r="C67" s="914"/>
      <c r="D67" s="914"/>
      <c r="E67" s="914"/>
      <c r="F67" s="914"/>
      <c r="G67" s="914"/>
      <c r="H67" s="914"/>
      <c r="I67" s="914"/>
      <c r="J67" s="914"/>
      <c r="K67" s="842"/>
      <c r="L67" s="842"/>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row>
    <row r="68" spans="1:52" x14ac:dyDescent="0.2">
      <c r="A68" s="842"/>
      <c r="B68" s="914"/>
      <c r="C68" s="914"/>
      <c r="D68" s="914"/>
      <c r="E68" s="914"/>
      <c r="F68" s="914"/>
      <c r="G68" s="914"/>
      <c r="H68" s="914"/>
      <c r="I68" s="914"/>
      <c r="J68" s="914"/>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2"/>
      <c r="AS68" s="842"/>
      <c r="AT68" s="842"/>
      <c r="AU68" s="842"/>
      <c r="AV68" s="842"/>
      <c r="AW68" s="842"/>
      <c r="AX68" s="842"/>
      <c r="AY68" s="842"/>
      <c r="AZ68" s="842"/>
    </row>
    <row r="69" spans="1:52" x14ac:dyDescent="0.2">
      <c r="A69" s="842"/>
      <c r="B69" s="914"/>
      <c r="C69" s="914"/>
      <c r="D69" s="914"/>
      <c r="E69" s="914"/>
      <c r="F69" s="914"/>
      <c r="G69" s="914"/>
      <c r="H69" s="914"/>
      <c r="I69" s="914"/>
      <c r="J69" s="914"/>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row>
    <row r="70" spans="1:52" x14ac:dyDescent="0.2">
      <c r="A70" s="842"/>
      <c r="B70" s="914"/>
      <c r="C70" s="914"/>
      <c r="D70" s="914"/>
      <c r="E70" s="914"/>
      <c r="F70" s="914"/>
      <c r="G70" s="914"/>
      <c r="H70" s="914"/>
      <c r="I70" s="914"/>
      <c r="J70" s="914"/>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2"/>
    </row>
    <row r="71" spans="1:52" x14ac:dyDescent="0.2">
      <c r="A71" s="842"/>
      <c r="B71" s="914"/>
      <c r="C71" s="914"/>
      <c r="D71" s="914"/>
      <c r="E71" s="914"/>
      <c r="F71" s="914"/>
      <c r="G71" s="914"/>
      <c r="H71" s="914"/>
      <c r="I71" s="914"/>
      <c r="J71" s="914"/>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2"/>
    </row>
    <row r="72" spans="1:52" x14ac:dyDescent="0.2">
      <c r="A72" s="842"/>
      <c r="B72" s="914"/>
      <c r="C72" s="914"/>
      <c r="D72" s="914"/>
      <c r="E72" s="914"/>
      <c r="F72" s="914"/>
      <c r="G72" s="914"/>
      <c r="H72" s="914"/>
      <c r="I72" s="914"/>
      <c r="J72" s="914"/>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2"/>
    </row>
    <row r="73" spans="1:52" x14ac:dyDescent="0.2">
      <c r="A73" s="842"/>
      <c r="B73" s="914"/>
      <c r="C73" s="914"/>
      <c r="D73" s="914"/>
      <c r="E73" s="914"/>
      <c r="F73" s="914"/>
      <c r="G73" s="914"/>
      <c r="H73" s="914"/>
      <c r="I73" s="914"/>
      <c r="J73" s="914"/>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c r="AO73" s="842"/>
      <c r="AP73" s="842"/>
      <c r="AQ73" s="842"/>
      <c r="AR73" s="842"/>
      <c r="AS73" s="842"/>
      <c r="AT73" s="842"/>
      <c r="AU73" s="842"/>
      <c r="AV73" s="842"/>
      <c r="AW73" s="842"/>
      <c r="AX73" s="842"/>
      <c r="AY73" s="842"/>
      <c r="AZ73" s="842"/>
    </row>
    <row r="74" spans="1:52" x14ac:dyDescent="0.2">
      <c r="A74" s="842"/>
      <c r="B74" s="914"/>
      <c r="C74" s="914"/>
      <c r="D74" s="914"/>
      <c r="E74" s="914"/>
      <c r="F74" s="914"/>
      <c r="G74" s="914"/>
      <c r="H74" s="914"/>
      <c r="I74" s="914"/>
      <c r="J74" s="914"/>
      <c r="K74" s="842"/>
      <c r="L74" s="842"/>
      <c r="M74" s="842"/>
      <c r="N74" s="842"/>
      <c r="O74" s="842"/>
      <c r="P74" s="842"/>
      <c r="Q74" s="842"/>
      <c r="R74" s="842"/>
      <c r="S74" s="842"/>
      <c r="T74" s="842"/>
      <c r="U74" s="842"/>
      <c r="V74" s="842"/>
      <c r="W74" s="842"/>
      <c r="X74" s="842"/>
      <c r="Y74" s="842"/>
      <c r="Z74" s="842"/>
      <c r="AA74" s="842"/>
      <c r="AB74" s="842"/>
      <c r="AC74" s="842"/>
      <c r="AD74" s="842"/>
      <c r="AE74" s="842"/>
      <c r="AF74" s="842"/>
      <c r="AG74" s="842"/>
      <c r="AH74" s="842"/>
      <c r="AI74" s="842"/>
      <c r="AJ74" s="842"/>
      <c r="AK74" s="842"/>
      <c r="AL74" s="842"/>
      <c r="AM74" s="842"/>
      <c r="AN74" s="842"/>
      <c r="AO74" s="842"/>
      <c r="AP74" s="842"/>
      <c r="AQ74" s="842"/>
      <c r="AR74" s="842"/>
      <c r="AS74" s="842"/>
      <c r="AT74" s="842"/>
      <c r="AU74" s="842"/>
      <c r="AV74" s="842"/>
      <c r="AW74" s="842"/>
      <c r="AX74" s="842"/>
      <c r="AY74" s="842"/>
      <c r="AZ74" s="842"/>
    </row>
    <row r="75" spans="1:52" x14ac:dyDescent="0.2">
      <c r="A75" s="842"/>
      <c r="B75" s="914"/>
      <c r="C75" s="914"/>
      <c r="D75" s="914"/>
      <c r="E75" s="914"/>
      <c r="F75" s="914"/>
      <c r="G75" s="914"/>
      <c r="H75" s="914"/>
      <c r="I75" s="914"/>
      <c r="J75" s="914"/>
      <c r="K75" s="842"/>
      <c r="L75" s="842"/>
      <c r="M75" s="842"/>
      <c r="N75" s="842"/>
      <c r="O75" s="842"/>
      <c r="P75" s="842"/>
      <c r="Q75" s="842"/>
      <c r="R75" s="842"/>
      <c r="S75" s="842"/>
      <c r="T75" s="842"/>
      <c r="U75" s="842"/>
      <c r="V75" s="842"/>
      <c r="W75" s="842"/>
      <c r="X75" s="842"/>
      <c r="Y75" s="842"/>
      <c r="Z75" s="842"/>
      <c r="AA75" s="842"/>
      <c r="AB75" s="842"/>
      <c r="AC75" s="842"/>
      <c r="AD75" s="842"/>
      <c r="AE75" s="842"/>
      <c r="AF75" s="842"/>
      <c r="AG75" s="842"/>
      <c r="AH75" s="842"/>
      <c r="AI75" s="842"/>
      <c r="AJ75" s="842"/>
      <c r="AK75" s="842"/>
      <c r="AL75" s="842"/>
      <c r="AM75" s="842"/>
      <c r="AN75" s="842"/>
      <c r="AO75" s="842"/>
      <c r="AP75" s="842"/>
      <c r="AQ75" s="842"/>
      <c r="AR75" s="842"/>
      <c r="AS75" s="842"/>
      <c r="AT75" s="842"/>
      <c r="AU75" s="842"/>
      <c r="AV75" s="842"/>
      <c r="AW75" s="842"/>
      <c r="AX75" s="842"/>
      <c r="AY75" s="842"/>
      <c r="AZ75" s="842"/>
    </row>
    <row r="76" spans="1:52" x14ac:dyDescent="0.2">
      <c r="A76" s="842"/>
      <c r="B76" s="914"/>
      <c r="C76" s="914"/>
      <c r="D76" s="914"/>
      <c r="E76" s="914"/>
      <c r="F76" s="914"/>
      <c r="G76" s="914"/>
      <c r="H76" s="914"/>
      <c r="I76" s="914"/>
      <c r="J76" s="914"/>
      <c r="K76" s="842"/>
      <c r="L76" s="842"/>
      <c r="M76" s="842"/>
      <c r="N76" s="842"/>
      <c r="O76" s="842"/>
      <c r="P76" s="842"/>
      <c r="Q76" s="842"/>
      <c r="R76" s="842"/>
      <c r="S76" s="842"/>
      <c r="T76" s="842"/>
      <c r="U76" s="842"/>
      <c r="V76" s="842"/>
      <c r="W76" s="842"/>
      <c r="X76" s="842"/>
      <c r="Y76" s="842"/>
      <c r="Z76" s="842"/>
      <c r="AA76" s="842"/>
      <c r="AB76" s="842"/>
      <c r="AC76" s="842"/>
      <c r="AD76" s="842"/>
      <c r="AE76" s="842"/>
      <c r="AF76" s="842"/>
      <c r="AG76" s="842"/>
      <c r="AH76" s="842"/>
      <c r="AI76" s="842"/>
      <c r="AJ76" s="842"/>
      <c r="AK76" s="842"/>
      <c r="AL76" s="842"/>
      <c r="AM76" s="842"/>
      <c r="AN76" s="842"/>
      <c r="AO76" s="842"/>
      <c r="AP76" s="842"/>
      <c r="AQ76" s="842"/>
      <c r="AR76" s="842"/>
      <c r="AS76" s="842"/>
      <c r="AT76" s="842"/>
      <c r="AU76" s="842"/>
      <c r="AV76" s="842"/>
      <c r="AW76" s="842"/>
      <c r="AX76" s="842"/>
      <c r="AY76" s="842"/>
      <c r="AZ76" s="842"/>
    </row>
    <row r="77" spans="1:52" x14ac:dyDescent="0.2">
      <c r="A77" s="842"/>
      <c r="B77" s="914"/>
      <c r="C77" s="914"/>
      <c r="D77" s="914"/>
      <c r="E77" s="914"/>
      <c r="F77" s="914"/>
      <c r="G77" s="914"/>
      <c r="H77" s="914"/>
      <c r="I77" s="914"/>
      <c r="J77" s="914"/>
      <c r="K77" s="842"/>
      <c r="L77" s="842"/>
      <c r="M77" s="842"/>
      <c r="N77" s="842"/>
      <c r="O77" s="842"/>
      <c r="P77" s="842"/>
      <c r="Q77" s="842"/>
      <c r="R77" s="842"/>
      <c r="S77" s="842"/>
      <c r="T77" s="842"/>
      <c r="U77" s="842"/>
      <c r="V77" s="842"/>
      <c r="W77" s="842"/>
      <c r="X77" s="842"/>
      <c r="Y77" s="842"/>
      <c r="Z77" s="842"/>
      <c r="AA77" s="842"/>
      <c r="AB77" s="842"/>
      <c r="AC77" s="842"/>
      <c r="AD77" s="842"/>
      <c r="AE77" s="842"/>
      <c r="AF77" s="842"/>
      <c r="AG77" s="842"/>
      <c r="AH77" s="842"/>
      <c r="AI77" s="842"/>
      <c r="AJ77" s="842"/>
      <c r="AK77" s="842"/>
      <c r="AL77" s="842"/>
      <c r="AM77" s="842"/>
      <c r="AN77" s="842"/>
      <c r="AO77" s="842"/>
      <c r="AP77" s="842"/>
      <c r="AQ77" s="842"/>
      <c r="AR77" s="842"/>
      <c r="AS77" s="842"/>
      <c r="AT77" s="842"/>
      <c r="AU77" s="842"/>
      <c r="AV77" s="842"/>
      <c r="AW77" s="842"/>
      <c r="AX77" s="842"/>
      <c r="AY77" s="842"/>
      <c r="AZ77" s="842"/>
    </row>
    <row r="78" spans="1:52" x14ac:dyDescent="0.2">
      <c r="A78" s="842"/>
      <c r="B78" s="914"/>
      <c r="C78" s="914"/>
      <c r="D78" s="914"/>
      <c r="E78" s="914"/>
      <c r="F78" s="914"/>
      <c r="G78" s="914"/>
      <c r="H78" s="914"/>
      <c r="I78" s="914"/>
      <c r="J78" s="914"/>
      <c r="K78" s="842"/>
      <c r="L78" s="842"/>
      <c r="M78" s="842"/>
      <c r="N78" s="842"/>
      <c r="O78" s="842"/>
      <c r="P78" s="842"/>
      <c r="Q78" s="842"/>
      <c r="R78" s="842"/>
      <c r="S78" s="842"/>
      <c r="T78" s="842"/>
      <c r="U78" s="842"/>
      <c r="V78" s="842"/>
      <c r="W78" s="842"/>
      <c r="X78" s="842"/>
      <c r="Y78" s="842"/>
      <c r="Z78" s="842"/>
      <c r="AA78" s="842"/>
      <c r="AB78" s="842"/>
      <c r="AC78" s="842"/>
      <c r="AD78" s="842"/>
      <c r="AE78" s="842"/>
      <c r="AF78" s="842"/>
      <c r="AG78" s="842"/>
      <c r="AH78" s="842"/>
      <c r="AI78" s="842"/>
      <c r="AJ78" s="842"/>
      <c r="AK78" s="842"/>
      <c r="AL78" s="842"/>
      <c r="AM78" s="842"/>
      <c r="AN78" s="842"/>
      <c r="AO78" s="842"/>
      <c r="AP78" s="842"/>
      <c r="AQ78" s="842"/>
      <c r="AR78" s="842"/>
      <c r="AS78" s="842"/>
      <c r="AT78" s="842"/>
      <c r="AU78" s="842"/>
      <c r="AV78" s="842"/>
      <c r="AW78" s="842"/>
      <c r="AX78" s="842"/>
      <c r="AY78" s="842"/>
      <c r="AZ78" s="842"/>
    </row>
    <row r="79" spans="1:52" x14ac:dyDescent="0.2">
      <c r="A79" s="842"/>
      <c r="B79" s="914"/>
      <c r="C79" s="914"/>
      <c r="D79" s="914"/>
      <c r="E79" s="914"/>
      <c r="F79" s="914"/>
      <c r="G79" s="914"/>
      <c r="H79" s="914"/>
      <c r="I79" s="914"/>
      <c r="J79" s="914"/>
      <c r="K79" s="842"/>
      <c r="L79" s="842"/>
      <c r="M79" s="842"/>
      <c r="N79" s="842"/>
      <c r="O79" s="842"/>
      <c r="P79" s="842"/>
      <c r="Q79" s="842"/>
      <c r="R79" s="842"/>
      <c r="S79" s="842"/>
      <c r="T79" s="842"/>
      <c r="U79" s="842"/>
      <c r="V79" s="842"/>
      <c r="W79" s="842"/>
      <c r="X79" s="842"/>
      <c r="Y79" s="842"/>
      <c r="Z79" s="842"/>
      <c r="AA79" s="842"/>
      <c r="AB79" s="842"/>
      <c r="AC79" s="842"/>
      <c r="AD79" s="842"/>
      <c r="AE79" s="842"/>
      <c r="AF79" s="842"/>
      <c r="AG79" s="842"/>
      <c r="AH79" s="842"/>
      <c r="AI79" s="842"/>
      <c r="AJ79" s="842"/>
      <c r="AK79" s="842"/>
      <c r="AL79" s="842"/>
      <c r="AM79" s="842"/>
      <c r="AN79" s="842"/>
      <c r="AO79" s="842"/>
      <c r="AP79" s="842"/>
      <c r="AQ79" s="842"/>
      <c r="AR79" s="842"/>
      <c r="AS79" s="842"/>
      <c r="AT79" s="842"/>
      <c r="AU79" s="842"/>
      <c r="AV79" s="842"/>
      <c r="AW79" s="842"/>
      <c r="AX79" s="842"/>
      <c r="AY79" s="842"/>
      <c r="AZ79" s="842"/>
    </row>
    <row r="80" spans="1:52" x14ac:dyDescent="0.2">
      <c r="A80" s="842"/>
      <c r="B80" s="914"/>
      <c r="C80" s="914"/>
      <c r="D80" s="914"/>
      <c r="E80" s="914"/>
      <c r="F80" s="914"/>
      <c r="G80" s="914"/>
      <c r="H80" s="914"/>
      <c r="I80" s="914"/>
      <c r="J80" s="914"/>
      <c r="K80" s="842"/>
      <c r="L80" s="842"/>
      <c r="M80" s="842"/>
      <c r="N80" s="842"/>
      <c r="O80" s="842"/>
      <c r="P80" s="842"/>
      <c r="Q80" s="842"/>
      <c r="R80" s="842"/>
      <c r="S80" s="842"/>
      <c r="T80" s="842"/>
      <c r="U80" s="842"/>
      <c r="V80" s="842"/>
      <c r="W80" s="842"/>
      <c r="X80" s="842"/>
      <c r="Y80" s="842"/>
      <c r="Z80" s="842"/>
      <c r="AA80" s="842"/>
      <c r="AB80" s="842"/>
      <c r="AC80" s="842"/>
      <c r="AD80" s="842"/>
      <c r="AE80" s="842"/>
      <c r="AF80" s="842"/>
      <c r="AG80" s="842"/>
      <c r="AH80" s="842"/>
      <c r="AI80" s="842"/>
      <c r="AJ80" s="842"/>
      <c r="AK80" s="842"/>
      <c r="AL80" s="842"/>
      <c r="AM80" s="842"/>
      <c r="AN80" s="842"/>
      <c r="AO80" s="842"/>
      <c r="AP80" s="842"/>
      <c r="AQ80" s="842"/>
      <c r="AR80" s="842"/>
      <c r="AS80" s="842"/>
      <c r="AT80" s="842"/>
      <c r="AU80" s="842"/>
      <c r="AV80" s="842"/>
      <c r="AW80" s="842"/>
      <c r="AX80" s="842"/>
      <c r="AY80" s="842"/>
      <c r="AZ80" s="842"/>
    </row>
    <row r="81" spans="1:52" x14ac:dyDescent="0.2">
      <c r="A81" s="842"/>
      <c r="B81" s="914"/>
      <c r="C81" s="914"/>
      <c r="D81" s="914"/>
      <c r="E81" s="914"/>
      <c r="F81" s="914"/>
      <c r="G81" s="914"/>
      <c r="H81" s="914"/>
      <c r="I81" s="914"/>
      <c r="J81" s="914"/>
      <c r="K81" s="842"/>
      <c r="L81" s="842"/>
      <c r="M81" s="842"/>
      <c r="N81" s="842"/>
      <c r="O81" s="842"/>
      <c r="P81" s="842"/>
      <c r="Q81" s="842"/>
      <c r="R81" s="842"/>
      <c r="S81" s="842"/>
      <c r="T81" s="842"/>
      <c r="U81" s="842"/>
      <c r="V81" s="842"/>
      <c r="W81" s="842"/>
      <c r="X81" s="842"/>
      <c r="Y81" s="842"/>
      <c r="Z81" s="842"/>
      <c r="AA81" s="842"/>
      <c r="AB81" s="842"/>
      <c r="AC81" s="842"/>
      <c r="AD81" s="842"/>
      <c r="AE81" s="842"/>
      <c r="AF81" s="842"/>
      <c r="AG81" s="842"/>
      <c r="AH81" s="842"/>
      <c r="AI81" s="842"/>
      <c r="AJ81" s="842"/>
      <c r="AK81" s="842"/>
      <c r="AL81" s="842"/>
      <c r="AM81" s="842"/>
      <c r="AN81" s="842"/>
      <c r="AO81" s="842"/>
      <c r="AP81" s="842"/>
      <c r="AQ81" s="842"/>
      <c r="AR81" s="842"/>
      <c r="AS81" s="842"/>
      <c r="AT81" s="842"/>
      <c r="AU81" s="842"/>
      <c r="AV81" s="842"/>
      <c r="AW81" s="842"/>
      <c r="AX81" s="842"/>
      <c r="AY81" s="842"/>
      <c r="AZ81" s="842"/>
    </row>
    <row r="82" spans="1:52" x14ac:dyDescent="0.2">
      <c r="A82" s="842"/>
      <c r="B82" s="914"/>
      <c r="C82" s="914"/>
      <c r="D82" s="914"/>
      <c r="E82" s="914"/>
      <c r="F82" s="914"/>
      <c r="G82" s="914"/>
      <c r="H82" s="914"/>
      <c r="I82" s="914"/>
      <c r="J82" s="914"/>
      <c r="K82" s="842"/>
      <c r="L82" s="842"/>
      <c r="M82" s="842"/>
      <c r="N82" s="842"/>
      <c r="O82" s="842"/>
      <c r="P82" s="842"/>
      <c r="Q82" s="842"/>
      <c r="R82" s="842"/>
      <c r="S82" s="842"/>
      <c r="T82" s="842"/>
      <c r="U82" s="842"/>
      <c r="V82" s="842"/>
      <c r="W82" s="842"/>
      <c r="X82" s="842"/>
      <c r="Y82" s="842"/>
      <c r="Z82" s="842"/>
      <c r="AA82" s="842"/>
      <c r="AB82" s="842"/>
      <c r="AC82" s="842"/>
      <c r="AD82" s="842"/>
      <c r="AE82" s="842"/>
      <c r="AF82" s="842"/>
      <c r="AG82" s="842"/>
      <c r="AH82" s="842"/>
      <c r="AI82" s="842"/>
      <c r="AJ82" s="842"/>
      <c r="AK82" s="842"/>
      <c r="AL82" s="842"/>
      <c r="AM82" s="842"/>
      <c r="AN82" s="842"/>
      <c r="AO82" s="842"/>
      <c r="AP82" s="842"/>
      <c r="AQ82" s="842"/>
      <c r="AR82" s="842"/>
      <c r="AS82" s="842"/>
      <c r="AT82" s="842"/>
      <c r="AU82" s="842"/>
      <c r="AV82" s="842"/>
      <c r="AW82" s="842"/>
      <c r="AX82" s="842"/>
      <c r="AY82" s="842"/>
      <c r="AZ82" s="842"/>
    </row>
    <row r="83" spans="1:52" x14ac:dyDescent="0.2">
      <c r="A83" s="842"/>
      <c r="B83" s="914"/>
      <c r="C83" s="914"/>
      <c r="D83" s="914"/>
      <c r="E83" s="914"/>
      <c r="F83" s="914"/>
      <c r="G83" s="914"/>
      <c r="H83" s="914"/>
      <c r="I83" s="914"/>
      <c r="J83" s="914"/>
      <c r="K83" s="842"/>
      <c r="L83" s="842"/>
      <c r="M83" s="842"/>
      <c r="N83" s="842"/>
      <c r="O83" s="842"/>
      <c r="P83" s="842"/>
      <c r="Q83" s="842"/>
      <c r="R83" s="842"/>
      <c r="S83" s="842"/>
      <c r="T83" s="842"/>
      <c r="U83" s="842"/>
      <c r="V83" s="842"/>
      <c r="W83" s="842"/>
      <c r="X83" s="842"/>
      <c r="Y83" s="842"/>
      <c r="Z83" s="842"/>
      <c r="AA83" s="842"/>
      <c r="AB83" s="842"/>
      <c r="AC83" s="842"/>
      <c r="AD83" s="842"/>
      <c r="AE83" s="842"/>
      <c r="AF83" s="842"/>
      <c r="AG83" s="842"/>
      <c r="AH83" s="842"/>
      <c r="AI83" s="842"/>
      <c r="AJ83" s="842"/>
      <c r="AK83" s="842"/>
      <c r="AL83" s="842"/>
      <c r="AM83" s="842"/>
      <c r="AN83" s="842"/>
      <c r="AO83" s="842"/>
      <c r="AP83" s="842"/>
      <c r="AQ83" s="842"/>
      <c r="AR83" s="842"/>
      <c r="AS83" s="842"/>
      <c r="AT83" s="842"/>
      <c r="AU83" s="842"/>
      <c r="AV83" s="842"/>
      <c r="AW83" s="842"/>
      <c r="AX83" s="842"/>
      <c r="AY83" s="842"/>
      <c r="AZ83" s="842"/>
    </row>
    <row r="84" spans="1:52" x14ac:dyDescent="0.2">
      <c r="A84" s="842"/>
      <c r="B84" s="914"/>
      <c r="C84" s="914"/>
      <c r="D84" s="914"/>
      <c r="E84" s="914"/>
      <c r="F84" s="914"/>
      <c r="G84" s="914"/>
      <c r="H84" s="914"/>
      <c r="I84" s="914"/>
      <c r="J84" s="914"/>
      <c r="K84" s="842"/>
      <c r="L84" s="842"/>
      <c r="M84" s="842"/>
      <c r="N84" s="842"/>
      <c r="O84" s="842"/>
      <c r="P84" s="842"/>
      <c r="Q84" s="842"/>
      <c r="R84" s="842"/>
      <c r="S84" s="842"/>
      <c r="T84" s="842"/>
      <c r="U84" s="842"/>
      <c r="V84" s="842"/>
      <c r="W84" s="842"/>
      <c r="X84" s="842"/>
      <c r="Y84" s="842"/>
      <c r="Z84" s="842"/>
      <c r="AA84" s="842"/>
      <c r="AB84" s="842"/>
      <c r="AC84" s="842"/>
      <c r="AD84" s="842"/>
      <c r="AE84" s="842"/>
      <c r="AF84" s="842"/>
      <c r="AG84" s="842"/>
      <c r="AH84" s="842"/>
      <c r="AI84" s="842"/>
      <c r="AJ84" s="842"/>
      <c r="AK84" s="842"/>
      <c r="AL84" s="842"/>
      <c r="AM84" s="842"/>
      <c r="AN84" s="842"/>
      <c r="AO84" s="842"/>
      <c r="AP84" s="842"/>
      <c r="AQ84" s="842"/>
      <c r="AR84" s="842"/>
      <c r="AS84" s="842"/>
      <c r="AT84" s="842"/>
      <c r="AU84" s="842"/>
      <c r="AV84" s="842"/>
      <c r="AW84" s="842"/>
      <c r="AX84" s="842"/>
      <c r="AY84" s="842"/>
      <c r="AZ84" s="842"/>
    </row>
    <row r="85" spans="1:52" x14ac:dyDescent="0.2">
      <c r="A85" s="842"/>
      <c r="B85" s="914"/>
      <c r="C85" s="914"/>
      <c r="D85" s="914"/>
      <c r="E85" s="914"/>
      <c r="F85" s="914"/>
      <c r="G85" s="914"/>
      <c r="H85" s="914"/>
      <c r="I85" s="914"/>
      <c r="J85" s="914"/>
      <c r="K85" s="842"/>
      <c r="L85" s="842"/>
      <c r="M85" s="842"/>
      <c r="N85" s="842"/>
      <c r="O85" s="842"/>
      <c r="P85" s="842"/>
      <c r="Q85" s="842"/>
      <c r="R85" s="842"/>
      <c r="S85" s="842"/>
      <c r="T85" s="842"/>
      <c r="U85" s="842"/>
      <c r="V85" s="842"/>
      <c r="W85" s="842"/>
      <c r="X85" s="842"/>
      <c r="Y85" s="842"/>
      <c r="Z85" s="842"/>
      <c r="AA85" s="842"/>
      <c r="AB85" s="842"/>
      <c r="AC85" s="842"/>
      <c r="AD85" s="842"/>
      <c r="AE85" s="842"/>
      <c r="AF85" s="842"/>
      <c r="AG85" s="842"/>
      <c r="AH85" s="842"/>
      <c r="AI85" s="842"/>
      <c r="AJ85" s="842"/>
      <c r="AK85" s="842"/>
      <c r="AL85" s="842"/>
      <c r="AM85" s="842"/>
      <c r="AN85" s="842"/>
      <c r="AO85" s="842"/>
      <c r="AP85" s="842"/>
      <c r="AQ85" s="842"/>
      <c r="AR85" s="842"/>
      <c r="AS85" s="842"/>
      <c r="AT85" s="842"/>
      <c r="AU85" s="842"/>
      <c r="AV85" s="842"/>
      <c r="AW85" s="842"/>
      <c r="AX85" s="842"/>
      <c r="AY85" s="842"/>
      <c r="AZ85" s="842"/>
    </row>
    <row r="86" spans="1:52" x14ac:dyDescent="0.2">
      <c r="A86" s="842"/>
      <c r="B86" s="914"/>
      <c r="C86" s="914"/>
      <c r="D86" s="914"/>
      <c r="E86" s="914"/>
      <c r="F86" s="914"/>
      <c r="G86" s="914"/>
      <c r="H86" s="914"/>
      <c r="I86" s="914"/>
      <c r="J86" s="914"/>
      <c r="K86" s="842"/>
      <c r="L86" s="842"/>
      <c r="M86" s="842"/>
      <c r="N86" s="842"/>
      <c r="O86" s="842"/>
      <c r="P86" s="842"/>
      <c r="Q86" s="842"/>
      <c r="R86" s="842"/>
      <c r="S86" s="842"/>
      <c r="T86" s="842"/>
      <c r="U86" s="842"/>
      <c r="V86" s="842"/>
      <c r="W86" s="842"/>
      <c r="X86" s="842"/>
      <c r="Y86" s="842"/>
      <c r="Z86" s="842"/>
      <c r="AA86" s="842"/>
      <c r="AB86" s="842"/>
      <c r="AC86" s="842"/>
      <c r="AD86" s="842"/>
      <c r="AE86" s="842"/>
      <c r="AF86" s="842"/>
      <c r="AG86" s="842"/>
      <c r="AH86" s="842"/>
      <c r="AI86" s="842"/>
      <c r="AJ86" s="842"/>
      <c r="AK86" s="842"/>
      <c r="AL86" s="842"/>
      <c r="AM86" s="842"/>
      <c r="AN86" s="842"/>
      <c r="AO86" s="842"/>
      <c r="AP86" s="842"/>
      <c r="AQ86" s="842"/>
      <c r="AR86" s="842"/>
      <c r="AS86" s="842"/>
      <c r="AT86" s="842"/>
      <c r="AU86" s="842"/>
      <c r="AV86" s="842"/>
      <c r="AW86" s="842"/>
      <c r="AX86" s="842"/>
      <c r="AY86" s="842"/>
      <c r="AZ86" s="842"/>
    </row>
    <row r="87" spans="1:52" x14ac:dyDescent="0.2">
      <c r="A87" s="842"/>
      <c r="B87" s="914"/>
      <c r="C87" s="914"/>
      <c r="D87" s="914"/>
      <c r="E87" s="914"/>
      <c r="F87" s="914"/>
      <c r="G87" s="914"/>
      <c r="H87" s="914"/>
      <c r="I87" s="914"/>
      <c r="J87" s="914"/>
      <c r="K87" s="842"/>
      <c r="L87" s="842"/>
      <c r="M87" s="842"/>
      <c r="N87" s="842"/>
      <c r="O87" s="842"/>
      <c r="P87" s="842"/>
      <c r="Q87" s="842"/>
      <c r="R87" s="842"/>
      <c r="S87" s="842"/>
      <c r="T87" s="842"/>
      <c r="U87" s="842"/>
      <c r="V87" s="842"/>
      <c r="W87" s="842"/>
      <c r="X87" s="842"/>
      <c r="Y87" s="842"/>
      <c r="Z87" s="842"/>
      <c r="AA87" s="842"/>
      <c r="AB87" s="842"/>
      <c r="AC87" s="842"/>
      <c r="AD87" s="842"/>
      <c r="AE87" s="842"/>
      <c r="AF87" s="842"/>
      <c r="AG87" s="842"/>
      <c r="AH87" s="842"/>
      <c r="AI87" s="842"/>
      <c r="AJ87" s="842"/>
      <c r="AK87" s="842"/>
      <c r="AL87" s="842"/>
      <c r="AM87" s="842"/>
      <c r="AN87" s="842"/>
      <c r="AO87" s="842"/>
      <c r="AP87" s="842"/>
      <c r="AQ87" s="842"/>
      <c r="AR87" s="842"/>
      <c r="AS87" s="842"/>
      <c r="AT87" s="842"/>
      <c r="AU87" s="842"/>
      <c r="AV87" s="842"/>
      <c r="AW87" s="842"/>
      <c r="AX87" s="842"/>
      <c r="AY87" s="842"/>
      <c r="AZ87" s="842"/>
    </row>
    <row r="88" spans="1:52" x14ac:dyDescent="0.2">
      <c r="A88" s="842"/>
      <c r="B88" s="914"/>
      <c r="C88" s="914"/>
      <c r="D88" s="914"/>
      <c r="E88" s="914"/>
      <c r="F88" s="914"/>
      <c r="G88" s="914"/>
      <c r="H88" s="914"/>
      <c r="I88" s="914"/>
      <c r="J88" s="914"/>
      <c r="K88" s="842"/>
      <c r="L88" s="842"/>
      <c r="M88" s="842"/>
      <c r="N88" s="842"/>
      <c r="O88" s="842"/>
      <c r="P88" s="842"/>
      <c r="Q88" s="842"/>
      <c r="R88" s="842"/>
      <c r="S88" s="842"/>
      <c r="T88" s="842"/>
      <c r="U88" s="842"/>
      <c r="V88" s="842"/>
      <c r="W88" s="842"/>
      <c r="X88" s="842"/>
      <c r="Y88" s="842"/>
      <c r="Z88" s="842"/>
      <c r="AA88" s="842"/>
      <c r="AB88" s="842"/>
      <c r="AC88" s="842"/>
      <c r="AD88" s="842"/>
      <c r="AE88" s="842"/>
      <c r="AF88" s="842"/>
      <c r="AG88" s="842"/>
      <c r="AH88" s="842"/>
      <c r="AI88" s="842"/>
      <c r="AJ88" s="842"/>
      <c r="AK88" s="842"/>
      <c r="AL88" s="842"/>
      <c r="AM88" s="842"/>
      <c r="AN88" s="842"/>
      <c r="AO88" s="842"/>
      <c r="AP88" s="842"/>
      <c r="AQ88" s="842"/>
      <c r="AR88" s="842"/>
      <c r="AS88" s="842"/>
      <c r="AT88" s="842"/>
      <c r="AU88" s="842"/>
      <c r="AV88" s="842"/>
      <c r="AW88" s="842"/>
      <c r="AX88" s="842"/>
      <c r="AY88" s="842"/>
      <c r="AZ88" s="842"/>
    </row>
    <row r="89" spans="1:52" x14ac:dyDescent="0.2">
      <c r="A89" s="842"/>
      <c r="B89" s="914"/>
      <c r="C89" s="914"/>
      <c r="D89" s="914"/>
      <c r="E89" s="914"/>
      <c r="F89" s="914"/>
      <c r="G89" s="914"/>
      <c r="H89" s="914"/>
      <c r="I89" s="914"/>
      <c r="J89" s="914"/>
      <c r="K89" s="842"/>
      <c r="L89" s="842"/>
      <c r="M89" s="842"/>
      <c r="N89" s="842"/>
      <c r="O89" s="842"/>
      <c r="P89" s="842"/>
      <c r="Q89" s="842"/>
      <c r="R89" s="842"/>
      <c r="S89" s="842"/>
      <c r="T89" s="842"/>
      <c r="U89" s="842"/>
      <c r="V89" s="842"/>
      <c r="W89" s="842"/>
      <c r="X89" s="842"/>
      <c r="Y89" s="842"/>
      <c r="Z89" s="842"/>
      <c r="AA89" s="842"/>
      <c r="AB89" s="842"/>
      <c r="AC89" s="842"/>
      <c r="AD89" s="842"/>
      <c r="AE89" s="842"/>
      <c r="AF89" s="842"/>
      <c r="AG89" s="842"/>
      <c r="AH89" s="842"/>
      <c r="AI89" s="842"/>
      <c r="AJ89" s="842"/>
      <c r="AK89" s="842"/>
      <c r="AL89" s="842"/>
      <c r="AM89" s="842"/>
      <c r="AN89" s="842"/>
      <c r="AO89" s="842"/>
      <c r="AP89" s="842"/>
      <c r="AQ89" s="842"/>
      <c r="AR89" s="842"/>
      <c r="AS89" s="842"/>
      <c r="AT89" s="842"/>
      <c r="AU89" s="842"/>
      <c r="AV89" s="842"/>
      <c r="AW89" s="842"/>
      <c r="AX89" s="842"/>
      <c r="AY89" s="842"/>
      <c r="AZ89" s="842"/>
    </row>
    <row r="90" spans="1:52" x14ac:dyDescent="0.2">
      <c r="A90" s="842"/>
      <c r="B90" s="914"/>
      <c r="C90" s="914"/>
      <c r="D90" s="914"/>
      <c r="E90" s="914"/>
      <c r="F90" s="914"/>
      <c r="G90" s="914"/>
      <c r="H90" s="914"/>
      <c r="I90" s="914"/>
      <c r="J90" s="914"/>
      <c r="K90" s="842"/>
      <c r="L90" s="842"/>
      <c r="M90" s="842"/>
      <c r="N90" s="842"/>
      <c r="O90" s="842"/>
      <c r="P90" s="842"/>
      <c r="Q90" s="842"/>
      <c r="R90" s="842"/>
      <c r="S90" s="842"/>
      <c r="T90" s="842"/>
      <c r="U90" s="842"/>
      <c r="V90" s="842"/>
      <c r="W90" s="842"/>
      <c r="X90" s="842"/>
      <c r="Y90" s="842"/>
      <c r="Z90" s="842"/>
      <c r="AA90" s="842"/>
      <c r="AB90" s="842"/>
      <c r="AC90" s="842"/>
      <c r="AD90" s="842"/>
      <c r="AE90" s="842"/>
      <c r="AF90" s="842"/>
      <c r="AG90" s="842"/>
      <c r="AH90" s="842"/>
      <c r="AI90" s="842"/>
      <c r="AJ90" s="842"/>
      <c r="AK90" s="842"/>
      <c r="AL90" s="842"/>
      <c r="AM90" s="842"/>
      <c r="AN90" s="842"/>
      <c r="AO90" s="842"/>
      <c r="AP90" s="842"/>
      <c r="AQ90" s="842"/>
      <c r="AR90" s="842"/>
      <c r="AS90" s="842"/>
      <c r="AT90" s="842"/>
      <c r="AU90" s="842"/>
      <c r="AV90" s="842"/>
      <c r="AW90" s="842"/>
      <c r="AX90" s="842"/>
      <c r="AY90" s="842"/>
      <c r="AZ90" s="842"/>
    </row>
    <row r="91" spans="1:52" x14ac:dyDescent="0.2">
      <c r="A91" s="842"/>
      <c r="B91" s="914"/>
      <c r="C91" s="914"/>
      <c r="D91" s="914"/>
      <c r="E91" s="914"/>
      <c r="F91" s="914"/>
      <c r="G91" s="914"/>
      <c r="H91" s="914"/>
      <c r="I91" s="914"/>
      <c r="J91" s="914"/>
      <c r="K91" s="842"/>
      <c r="L91" s="842"/>
      <c r="M91" s="842"/>
      <c r="N91" s="842"/>
      <c r="O91" s="842"/>
      <c r="P91" s="842"/>
      <c r="Q91" s="842"/>
      <c r="R91" s="842"/>
      <c r="S91" s="842"/>
      <c r="T91" s="842"/>
      <c r="U91" s="842"/>
      <c r="V91" s="842"/>
      <c r="W91" s="842"/>
      <c r="X91" s="842"/>
      <c r="Y91" s="842"/>
      <c r="Z91" s="842"/>
      <c r="AA91" s="842"/>
      <c r="AB91" s="842"/>
      <c r="AC91" s="842"/>
      <c r="AD91" s="842"/>
      <c r="AE91" s="842"/>
      <c r="AF91" s="842"/>
      <c r="AG91" s="842"/>
      <c r="AH91" s="842"/>
      <c r="AI91" s="842"/>
      <c r="AJ91" s="842"/>
      <c r="AK91" s="842"/>
      <c r="AL91" s="842"/>
      <c r="AM91" s="842"/>
      <c r="AN91" s="842"/>
      <c r="AO91" s="842"/>
      <c r="AP91" s="842"/>
      <c r="AQ91" s="842"/>
      <c r="AR91" s="842"/>
      <c r="AS91" s="842"/>
      <c r="AT91" s="842"/>
      <c r="AU91" s="842"/>
      <c r="AV91" s="842"/>
      <c r="AW91" s="842"/>
      <c r="AX91" s="842"/>
      <c r="AY91" s="842"/>
      <c r="AZ91" s="842"/>
    </row>
    <row r="92" spans="1:52" x14ac:dyDescent="0.2">
      <c r="A92" s="842"/>
      <c r="B92" s="914"/>
      <c r="C92" s="914"/>
      <c r="D92" s="914"/>
      <c r="E92" s="914"/>
      <c r="F92" s="914"/>
      <c r="G92" s="914"/>
      <c r="H92" s="914"/>
      <c r="I92" s="914"/>
      <c r="J92" s="914"/>
      <c r="K92" s="842"/>
      <c r="L92" s="842"/>
      <c r="M92" s="842"/>
      <c r="N92" s="842"/>
      <c r="O92" s="842"/>
      <c r="P92" s="842"/>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2"/>
      <c r="AR92" s="842"/>
      <c r="AS92" s="842"/>
      <c r="AT92" s="842"/>
      <c r="AU92" s="842"/>
      <c r="AV92" s="842"/>
      <c r="AW92" s="842"/>
      <c r="AX92" s="842"/>
      <c r="AY92" s="842"/>
      <c r="AZ92" s="842"/>
    </row>
    <row r="93" spans="1:52" x14ac:dyDescent="0.2">
      <c r="A93" s="842"/>
      <c r="B93" s="914"/>
      <c r="C93" s="914"/>
      <c r="D93" s="914"/>
      <c r="E93" s="914"/>
      <c r="F93" s="914"/>
      <c r="G93" s="914"/>
      <c r="H93" s="914"/>
      <c r="I93" s="914"/>
      <c r="J93" s="914"/>
      <c r="K93" s="842"/>
      <c r="L93" s="842"/>
      <c r="M93" s="842"/>
      <c r="N93" s="842"/>
      <c r="O93" s="842"/>
      <c r="P93" s="842"/>
      <c r="Q93" s="842"/>
      <c r="R93" s="842"/>
      <c r="S93" s="842"/>
      <c r="T93" s="842"/>
      <c r="U93" s="842"/>
      <c r="V93" s="842"/>
      <c r="W93" s="842"/>
      <c r="X93" s="842"/>
      <c r="Y93" s="842"/>
      <c r="Z93" s="842"/>
      <c r="AA93" s="842"/>
      <c r="AB93" s="842"/>
      <c r="AC93" s="842"/>
      <c r="AD93" s="842"/>
      <c r="AE93" s="842"/>
      <c r="AF93" s="842"/>
      <c r="AG93" s="842"/>
      <c r="AH93" s="842"/>
      <c r="AI93" s="842"/>
      <c r="AJ93" s="842"/>
      <c r="AK93" s="842"/>
      <c r="AL93" s="842"/>
      <c r="AM93" s="842"/>
      <c r="AN93" s="842"/>
      <c r="AO93" s="842"/>
      <c r="AP93" s="842"/>
      <c r="AQ93" s="842"/>
      <c r="AR93" s="842"/>
      <c r="AS93" s="842"/>
      <c r="AT93" s="842"/>
      <c r="AU93" s="842"/>
      <c r="AV93" s="842"/>
      <c r="AW93" s="842"/>
      <c r="AX93" s="842"/>
      <c r="AY93" s="842"/>
      <c r="AZ93" s="842"/>
    </row>
    <row r="94" spans="1:52" x14ac:dyDescent="0.2">
      <c r="A94" s="842"/>
      <c r="B94" s="914"/>
      <c r="C94" s="914"/>
      <c r="D94" s="914"/>
      <c r="E94" s="914"/>
      <c r="F94" s="914"/>
      <c r="G94" s="914"/>
      <c r="H94" s="914"/>
      <c r="I94" s="914"/>
      <c r="J94" s="914"/>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2"/>
      <c r="AR94" s="842"/>
      <c r="AS94" s="842"/>
      <c r="AT94" s="842"/>
      <c r="AU94" s="842"/>
      <c r="AV94" s="842"/>
      <c r="AW94" s="842"/>
      <c r="AX94" s="842"/>
      <c r="AY94" s="842"/>
      <c r="AZ94" s="842"/>
    </row>
    <row r="95" spans="1:52" x14ac:dyDescent="0.2">
      <c r="A95" s="842"/>
      <c r="B95" s="914"/>
      <c r="C95" s="914"/>
      <c r="D95" s="914"/>
      <c r="E95" s="914"/>
      <c r="F95" s="914"/>
      <c r="G95" s="914"/>
      <c r="H95" s="914"/>
      <c r="I95" s="914"/>
      <c r="J95" s="914"/>
      <c r="K95" s="842"/>
      <c r="L95" s="842"/>
      <c r="M95" s="842"/>
      <c r="N95" s="842"/>
      <c r="O95" s="842"/>
      <c r="P95" s="842"/>
      <c r="Q95" s="842"/>
      <c r="R95" s="842"/>
      <c r="S95" s="842"/>
      <c r="T95" s="842"/>
      <c r="U95" s="842"/>
      <c r="V95" s="842"/>
      <c r="W95" s="842"/>
      <c r="X95" s="842"/>
      <c r="Y95" s="842"/>
      <c r="Z95" s="842"/>
      <c r="AA95" s="842"/>
      <c r="AB95" s="842"/>
      <c r="AC95" s="842"/>
      <c r="AD95" s="842"/>
      <c r="AE95" s="842"/>
      <c r="AF95" s="842"/>
      <c r="AG95" s="842"/>
      <c r="AH95" s="842"/>
      <c r="AI95" s="842"/>
      <c r="AJ95" s="842"/>
      <c r="AK95" s="842"/>
      <c r="AL95" s="842"/>
      <c r="AM95" s="842"/>
      <c r="AN95" s="842"/>
      <c r="AO95" s="842"/>
      <c r="AP95" s="842"/>
      <c r="AQ95" s="842"/>
      <c r="AR95" s="842"/>
      <c r="AS95" s="842"/>
      <c r="AT95" s="842"/>
      <c r="AU95" s="842"/>
      <c r="AV95" s="842"/>
      <c r="AW95" s="842"/>
      <c r="AX95" s="842"/>
      <c r="AY95" s="842"/>
      <c r="AZ95" s="842"/>
    </row>
    <row r="96" spans="1:52" x14ac:dyDescent="0.2">
      <c r="A96" s="842"/>
      <c r="B96" s="914"/>
      <c r="C96" s="914"/>
      <c r="D96" s="914"/>
      <c r="E96" s="914"/>
      <c r="F96" s="914"/>
      <c r="G96" s="914"/>
      <c r="H96" s="914"/>
      <c r="I96" s="914"/>
      <c r="J96" s="914"/>
      <c r="K96" s="842"/>
      <c r="L96" s="842"/>
      <c r="M96" s="842"/>
      <c r="N96" s="842"/>
      <c r="O96" s="842"/>
      <c r="P96" s="842"/>
      <c r="Q96" s="842"/>
      <c r="R96" s="842"/>
      <c r="S96" s="842"/>
      <c r="T96" s="842"/>
      <c r="U96" s="842"/>
      <c r="V96" s="842"/>
      <c r="W96" s="842"/>
      <c r="X96" s="842"/>
      <c r="Y96" s="842"/>
      <c r="Z96" s="842"/>
      <c r="AA96" s="842"/>
      <c r="AB96" s="842"/>
      <c r="AC96" s="842"/>
      <c r="AD96" s="842"/>
      <c r="AE96" s="842"/>
      <c r="AF96" s="842"/>
      <c r="AG96" s="842"/>
      <c r="AH96" s="842"/>
      <c r="AI96" s="842"/>
      <c r="AJ96" s="842"/>
      <c r="AK96" s="842"/>
      <c r="AL96" s="842"/>
      <c r="AM96" s="842"/>
      <c r="AN96" s="842"/>
      <c r="AO96" s="842"/>
      <c r="AP96" s="842"/>
      <c r="AQ96" s="842"/>
      <c r="AR96" s="842"/>
      <c r="AS96" s="842"/>
      <c r="AT96" s="842"/>
      <c r="AU96" s="842"/>
      <c r="AV96" s="842"/>
      <c r="AW96" s="842"/>
      <c r="AX96" s="842"/>
      <c r="AY96" s="842"/>
      <c r="AZ96" s="842"/>
    </row>
    <row r="97" spans="1:52" x14ac:dyDescent="0.2">
      <c r="A97" s="842"/>
      <c r="B97" s="914"/>
      <c r="C97" s="914"/>
      <c r="D97" s="914"/>
      <c r="E97" s="914"/>
      <c r="F97" s="914"/>
      <c r="G97" s="914"/>
      <c r="H97" s="914"/>
      <c r="I97" s="914"/>
      <c r="J97" s="914"/>
      <c r="K97" s="842"/>
      <c r="L97" s="842"/>
      <c r="M97" s="842"/>
      <c r="N97" s="842"/>
      <c r="O97" s="842"/>
      <c r="P97" s="842"/>
      <c r="Q97" s="842"/>
      <c r="R97" s="842"/>
      <c r="S97" s="842"/>
      <c r="T97" s="842"/>
      <c r="U97" s="842"/>
      <c r="V97" s="842"/>
      <c r="W97" s="842"/>
      <c r="X97" s="842"/>
      <c r="Y97" s="842"/>
      <c r="Z97" s="842"/>
      <c r="AA97" s="842"/>
      <c r="AB97" s="842"/>
      <c r="AC97" s="842"/>
      <c r="AD97" s="842"/>
      <c r="AE97" s="842"/>
      <c r="AF97" s="842"/>
      <c r="AG97" s="842"/>
      <c r="AH97" s="842"/>
      <c r="AI97" s="842"/>
      <c r="AJ97" s="842"/>
      <c r="AK97" s="842"/>
      <c r="AL97" s="842"/>
      <c r="AM97" s="842"/>
      <c r="AN97" s="842"/>
      <c r="AO97" s="842"/>
      <c r="AP97" s="842"/>
      <c r="AQ97" s="842"/>
      <c r="AR97" s="842"/>
      <c r="AS97" s="842"/>
      <c r="AT97" s="842"/>
      <c r="AU97" s="842"/>
      <c r="AV97" s="842"/>
      <c r="AW97" s="842"/>
      <c r="AX97" s="842"/>
      <c r="AY97" s="842"/>
      <c r="AZ97" s="842"/>
    </row>
    <row r="98" spans="1:52" x14ac:dyDescent="0.2">
      <c r="A98" s="842"/>
      <c r="B98" s="914"/>
      <c r="C98" s="914"/>
      <c r="D98" s="914"/>
      <c r="E98" s="914"/>
      <c r="F98" s="914"/>
      <c r="G98" s="914"/>
      <c r="H98" s="914"/>
      <c r="I98" s="914"/>
      <c r="J98" s="914"/>
      <c r="K98" s="842"/>
      <c r="L98" s="842"/>
      <c r="M98" s="842"/>
      <c r="N98" s="842"/>
      <c r="O98" s="842"/>
      <c r="P98" s="842"/>
      <c r="Q98" s="842"/>
      <c r="R98" s="842"/>
      <c r="S98" s="842"/>
      <c r="T98" s="842"/>
      <c r="U98" s="842"/>
      <c r="V98" s="842"/>
      <c r="W98" s="842"/>
      <c r="X98" s="842"/>
      <c r="Y98" s="842"/>
      <c r="Z98" s="842"/>
      <c r="AA98" s="842"/>
      <c r="AB98" s="842"/>
      <c r="AC98" s="842"/>
      <c r="AD98" s="842"/>
      <c r="AE98" s="842"/>
      <c r="AF98" s="842"/>
      <c r="AG98" s="842"/>
      <c r="AH98" s="842"/>
      <c r="AI98" s="842"/>
      <c r="AJ98" s="842"/>
      <c r="AK98" s="842"/>
      <c r="AL98" s="842"/>
      <c r="AM98" s="842"/>
      <c r="AN98" s="842"/>
      <c r="AO98" s="842"/>
      <c r="AP98" s="842"/>
      <c r="AQ98" s="842"/>
      <c r="AR98" s="842"/>
      <c r="AS98" s="842"/>
      <c r="AT98" s="842"/>
      <c r="AU98" s="842"/>
      <c r="AV98" s="842"/>
      <c r="AW98" s="842"/>
      <c r="AX98" s="842"/>
      <c r="AY98" s="842"/>
      <c r="AZ98" s="842"/>
    </row>
    <row r="99" spans="1:52" x14ac:dyDescent="0.2">
      <c r="A99" s="842"/>
      <c r="B99" s="914"/>
      <c r="C99" s="914"/>
      <c r="D99" s="914"/>
      <c r="E99" s="914"/>
      <c r="F99" s="914"/>
      <c r="G99" s="914"/>
      <c r="H99" s="914"/>
      <c r="I99" s="914"/>
      <c r="J99" s="914"/>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2"/>
      <c r="AL99" s="842"/>
      <c r="AM99" s="842"/>
      <c r="AN99" s="842"/>
      <c r="AO99" s="842"/>
      <c r="AP99" s="842"/>
      <c r="AQ99" s="842"/>
      <c r="AR99" s="842"/>
      <c r="AS99" s="842"/>
      <c r="AT99" s="842"/>
      <c r="AU99" s="842"/>
      <c r="AV99" s="842"/>
      <c r="AW99" s="842"/>
      <c r="AX99" s="842"/>
      <c r="AY99" s="842"/>
      <c r="AZ99" s="842"/>
    </row>
    <row r="100" spans="1:52" x14ac:dyDescent="0.2">
      <c r="A100" s="842"/>
      <c r="B100" s="914"/>
      <c r="C100" s="914"/>
      <c r="D100" s="914"/>
      <c r="E100" s="914"/>
      <c r="F100" s="914"/>
      <c r="G100" s="914"/>
      <c r="H100" s="914"/>
      <c r="I100" s="914"/>
      <c r="J100" s="914"/>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2"/>
      <c r="AG100" s="842"/>
      <c r="AH100" s="842"/>
      <c r="AI100" s="842"/>
      <c r="AJ100" s="842"/>
      <c r="AK100" s="842"/>
      <c r="AL100" s="842"/>
      <c r="AM100" s="842"/>
      <c r="AN100" s="842"/>
      <c r="AO100" s="842"/>
      <c r="AP100" s="842"/>
      <c r="AQ100" s="842"/>
      <c r="AR100" s="842"/>
      <c r="AS100" s="842"/>
      <c r="AT100" s="842"/>
      <c r="AU100" s="842"/>
      <c r="AV100" s="842"/>
      <c r="AW100" s="842"/>
      <c r="AX100" s="842"/>
      <c r="AY100" s="842"/>
      <c r="AZ100" s="842"/>
    </row>
    <row r="101" spans="1:52" x14ac:dyDescent="0.2">
      <c r="A101" s="842"/>
      <c r="B101" s="914"/>
      <c r="C101" s="914"/>
      <c r="D101" s="914"/>
      <c r="E101" s="914"/>
      <c r="F101" s="914"/>
      <c r="G101" s="914"/>
      <c r="H101" s="914"/>
      <c r="I101" s="914"/>
      <c r="J101" s="914"/>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2"/>
      <c r="AG101" s="842"/>
      <c r="AH101" s="842"/>
      <c r="AI101" s="842"/>
      <c r="AJ101" s="842"/>
      <c r="AK101" s="842"/>
      <c r="AL101" s="842"/>
      <c r="AM101" s="842"/>
      <c r="AN101" s="842"/>
      <c r="AO101" s="842"/>
      <c r="AP101" s="842"/>
      <c r="AQ101" s="842"/>
      <c r="AR101" s="842"/>
      <c r="AS101" s="842"/>
      <c r="AT101" s="842"/>
      <c r="AU101" s="842"/>
      <c r="AV101" s="842"/>
      <c r="AW101" s="842"/>
      <c r="AX101" s="842"/>
      <c r="AY101" s="842"/>
      <c r="AZ101" s="842"/>
    </row>
    <row r="102" spans="1:52" x14ac:dyDescent="0.2">
      <c r="A102" s="842"/>
      <c r="B102" s="914"/>
      <c r="C102" s="914"/>
      <c r="D102" s="914"/>
      <c r="E102" s="914"/>
      <c r="F102" s="914"/>
      <c r="G102" s="914"/>
      <c r="H102" s="914"/>
      <c r="I102" s="914"/>
      <c r="J102" s="914"/>
      <c r="K102" s="842"/>
      <c r="L102" s="842"/>
      <c r="M102" s="842"/>
      <c r="N102" s="842"/>
      <c r="O102" s="842"/>
      <c r="P102" s="842"/>
      <c r="Q102" s="842"/>
      <c r="R102" s="842"/>
      <c r="S102" s="842"/>
      <c r="T102" s="842"/>
      <c r="U102" s="842"/>
      <c r="V102" s="842"/>
      <c r="W102" s="842"/>
      <c r="X102" s="842"/>
      <c r="Y102" s="842"/>
      <c r="Z102" s="842"/>
      <c r="AA102" s="842"/>
      <c r="AB102" s="842"/>
      <c r="AC102" s="842"/>
      <c r="AD102" s="842"/>
      <c r="AE102" s="842"/>
      <c r="AF102" s="842"/>
      <c r="AG102" s="842"/>
      <c r="AH102" s="842"/>
      <c r="AI102" s="842"/>
      <c r="AJ102" s="842"/>
      <c r="AK102" s="842"/>
      <c r="AL102" s="842"/>
      <c r="AM102" s="842"/>
      <c r="AN102" s="842"/>
      <c r="AO102" s="842"/>
      <c r="AP102" s="842"/>
      <c r="AQ102" s="842"/>
      <c r="AR102" s="842"/>
      <c r="AS102" s="842"/>
      <c r="AT102" s="842"/>
      <c r="AU102" s="842"/>
      <c r="AV102" s="842"/>
      <c r="AW102" s="842"/>
      <c r="AX102" s="842"/>
      <c r="AY102" s="842"/>
      <c r="AZ102" s="842"/>
    </row>
    <row r="103" spans="1:52" x14ac:dyDescent="0.2">
      <c r="A103" s="842"/>
      <c r="B103" s="914"/>
      <c r="C103" s="914"/>
      <c r="D103" s="914"/>
      <c r="E103" s="914"/>
      <c r="F103" s="914"/>
      <c r="G103" s="914"/>
      <c r="H103" s="914"/>
      <c r="I103" s="914"/>
      <c r="J103" s="914"/>
      <c r="K103" s="842"/>
      <c r="L103" s="842"/>
      <c r="M103" s="842"/>
      <c r="N103" s="842"/>
      <c r="O103" s="842"/>
      <c r="P103" s="842"/>
      <c r="Q103" s="842"/>
      <c r="R103" s="842"/>
      <c r="S103" s="842"/>
      <c r="T103" s="842"/>
      <c r="U103" s="842"/>
      <c r="V103" s="842"/>
      <c r="W103" s="842"/>
      <c r="X103" s="842"/>
      <c r="Y103" s="842"/>
      <c r="Z103" s="842"/>
      <c r="AA103" s="842"/>
      <c r="AB103" s="842"/>
      <c r="AC103" s="842"/>
      <c r="AD103" s="842"/>
      <c r="AE103" s="842"/>
      <c r="AF103" s="842"/>
      <c r="AG103" s="842"/>
      <c r="AH103" s="842"/>
      <c r="AI103" s="842"/>
      <c r="AJ103" s="842"/>
      <c r="AK103" s="842"/>
      <c r="AL103" s="842"/>
      <c r="AM103" s="842"/>
      <c r="AN103" s="842"/>
      <c r="AO103" s="842"/>
      <c r="AP103" s="842"/>
      <c r="AQ103" s="842"/>
      <c r="AR103" s="842"/>
      <c r="AS103" s="842"/>
      <c r="AT103" s="842"/>
      <c r="AU103" s="842"/>
      <c r="AV103" s="842"/>
      <c r="AW103" s="842"/>
      <c r="AX103" s="842"/>
      <c r="AY103" s="842"/>
      <c r="AZ103" s="842"/>
    </row>
    <row r="104" spans="1:52" x14ac:dyDescent="0.2">
      <c r="A104" s="842"/>
      <c r="B104" s="914"/>
      <c r="C104" s="914"/>
      <c r="D104" s="914"/>
      <c r="E104" s="914"/>
      <c r="F104" s="914"/>
      <c r="G104" s="914"/>
      <c r="H104" s="914"/>
      <c r="I104" s="914"/>
      <c r="J104" s="914"/>
      <c r="K104" s="842"/>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2"/>
      <c r="AL104" s="842"/>
      <c r="AM104" s="842"/>
      <c r="AN104" s="842"/>
      <c r="AO104" s="842"/>
      <c r="AP104" s="842"/>
      <c r="AQ104" s="842"/>
      <c r="AR104" s="842"/>
      <c r="AS104" s="842"/>
      <c r="AT104" s="842"/>
      <c r="AU104" s="842"/>
      <c r="AV104" s="842"/>
      <c r="AW104" s="842"/>
      <c r="AX104" s="842"/>
      <c r="AY104" s="842"/>
      <c r="AZ104" s="842"/>
    </row>
    <row r="105" spans="1:52" x14ac:dyDescent="0.2">
      <c r="A105" s="842"/>
      <c r="B105" s="914"/>
      <c r="C105" s="914"/>
      <c r="D105" s="914"/>
      <c r="E105" s="914"/>
      <c r="F105" s="914"/>
      <c r="G105" s="914"/>
      <c r="H105" s="914"/>
      <c r="I105" s="914"/>
      <c r="J105" s="914"/>
      <c r="K105" s="842"/>
      <c r="L105" s="842"/>
      <c r="M105" s="842"/>
      <c r="N105" s="842"/>
      <c r="O105" s="842"/>
      <c r="P105" s="842"/>
      <c r="Q105" s="842"/>
      <c r="R105" s="842"/>
      <c r="S105" s="842"/>
      <c r="T105" s="842"/>
      <c r="U105" s="842"/>
      <c r="V105" s="842"/>
      <c r="W105" s="842"/>
      <c r="X105" s="842"/>
      <c r="Y105" s="842"/>
      <c r="Z105" s="842"/>
      <c r="AA105" s="842"/>
      <c r="AB105" s="842"/>
      <c r="AC105" s="842"/>
      <c r="AD105" s="842"/>
      <c r="AE105" s="842"/>
      <c r="AF105" s="842"/>
      <c r="AG105" s="842"/>
      <c r="AH105" s="842"/>
      <c r="AI105" s="842"/>
      <c r="AJ105" s="842"/>
      <c r="AK105" s="842"/>
      <c r="AL105" s="842"/>
      <c r="AM105" s="842"/>
      <c r="AN105" s="842"/>
      <c r="AO105" s="842"/>
      <c r="AP105" s="842"/>
      <c r="AQ105" s="842"/>
      <c r="AR105" s="842"/>
      <c r="AS105" s="842"/>
      <c r="AT105" s="842"/>
      <c r="AU105" s="842"/>
      <c r="AV105" s="842"/>
      <c r="AW105" s="842"/>
      <c r="AX105" s="842"/>
      <c r="AY105" s="842"/>
      <c r="AZ105" s="842"/>
    </row>
    <row r="106" spans="1:52" x14ac:dyDescent="0.2">
      <c r="A106" s="842"/>
      <c r="B106" s="914"/>
      <c r="C106" s="914"/>
      <c r="D106" s="914"/>
      <c r="E106" s="914"/>
      <c r="F106" s="914"/>
      <c r="G106" s="914"/>
      <c r="H106" s="914"/>
      <c r="I106" s="914"/>
      <c r="J106" s="914"/>
      <c r="K106" s="842"/>
      <c r="L106" s="842"/>
      <c r="M106" s="842"/>
      <c r="N106" s="842"/>
      <c r="O106" s="842"/>
      <c r="P106" s="842"/>
      <c r="Q106" s="842"/>
      <c r="R106" s="842"/>
      <c r="S106" s="842"/>
      <c r="T106" s="842"/>
      <c r="U106" s="842"/>
      <c r="V106" s="842"/>
      <c r="W106" s="842"/>
      <c r="X106" s="842"/>
      <c r="Y106" s="842"/>
      <c r="Z106" s="842"/>
      <c r="AA106" s="842"/>
      <c r="AB106" s="842"/>
      <c r="AC106" s="842"/>
      <c r="AD106" s="842"/>
      <c r="AE106" s="842"/>
      <c r="AF106" s="842"/>
      <c r="AG106" s="842"/>
      <c r="AH106" s="842"/>
      <c r="AI106" s="842"/>
      <c r="AJ106" s="842"/>
      <c r="AK106" s="842"/>
      <c r="AL106" s="842"/>
      <c r="AM106" s="842"/>
      <c r="AN106" s="842"/>
      <c r="AO106" s="842"/>
      <c r="AP106" s="842"/>
      <c r="AQ106" s="842"/>
      <c r="AR106" s="842"/>
      <c r="AS106" s="842"/>
      <c r="AT106" s="842"/>
      <c r="AU106" s="842"/>
      <c r="AV106" s="842"/>
      <c r="AW106" s="842"/>
      <c r="AX106" s="842"/>
      <c r="AY106" s="842"/>
      <c r="AZ106" s="842"/>
    </row>
    <row r="107" spans="1:52" x14ac:dyDescent="0.2">
      <c r="A107" s="842"/>
      <c r="B107" s="914"/>
      <c r="C107" s="914"/>
      <c r="D107" s="914"/>
      <c r="E107" s="914"/>
      <c r="F107" s="914"/>
      <c r="G107" s="914"/>
      <c r="H107" s="914"/>
      <c r="I107" s="914"/>
      <c r="J107" s="914"/>
      <c r="K107" s="842"/>
      <c r="L107" s="842"/>
      <c r="M107" s="842"/>
      <c r="N107" s="842"/>
      <c r="O107" s="842"/>
      <c r="P107" s="842"/>
      <c r="Q107" s="842"/>
      <c r="R107" s="842"/>
      <c r="S107" s="842"/>
      <c r="T107" s="842"/>
      <c r="U107" s="842"/>
      <c r="V107" s="842"/>
      <c r="W107" s="842"/>
      <c r="X107" s="842"/>
      <c r="Y107" s="842"/>
      <c r="Z107" s="842"/>
      <c r="AA107" s="842"/>
      <c r="AB107" s="842"/>
      <c r="AC107" s="842"/>
      <c r="AD107" s="842"/>
      <c r="AE107" s="842"/>
      <c r="AF107" s="842"/>
      <c r="AG107" s="842"/>
      <c r="AH107" s="842"/>
      <c r="AI107" s="842"/>
      <c r="AJ107" s="842"/>
      <c r="AK107" s="842"/>
      <c r="AL107" s="842"/>
      <c r="AM107" s="842"/>
      <c r="AN107" s="842"/>
      <c r="AO107" s="842"/>
      <c r="AP107" s="842"/>
      <c r="AQ107" s="842"/>
      <c r="AR107" s="842"/>
      <c r="AS107" s="842"/>
      <c r="AT107" s="842"/>
      <c r="AU107" s="842"/>
      <c r="AV107" s="842"/>
      <c r="AW107" s="842"/>
      <c r="AX107" s="842"/>
      <c r="AY107" s="842"/>
      <c r="AZ107" s="842"/>
    </row>
    <row r="108" spans="1:52" x14ac:dyDescent="0.2">
      <c r="A108" s="842"/>
      <c r="B108" s="914"/>
      <c r="C108" s="914"/>
      <c r="D108" s="914"/>
      <c r="E108" s="914"/>
      <c r="F108" s="914"/>
      <c r="G108" s="914"/>
      <c r="H108" s="914"/>
      <c r="I108" s="914"/>
      <c r="J108" s="914"/>
      <c r="K108" s="842"/>
      <c r="L108" s="842"/>
      <c r="M108" s="842"/>
      <c r="N108" s="842"/>
      <c r="O108" s="842"/>
      <c r="P108" s="842"/>
      <c r="Q108" s="842"/>
      <c r="R108" s="842"/>
      <c r="S108" s="842"/>
      <c r="T108" s="842"/>
      <c r="U108" s="842"/>
      <c r="V108" s="842"/>
      <c r="W108" s="842"/>
      <c r="X108" s="842"/>
      <c r="Y108" s="842"/>
      <c r="Z108" s="842"/>
      <c r="AA108" s="842"/>
      <c r="AB108" s="842"/>
      <c r="AC108" s="842"/>
      <c r="AD108" s="842"/>
      <c r="AE108" s="842"/>
      <c r="AF108" s="842"/>
      <c r="AG108" s="842"/>
      <c r="AH108" s="842"/>
      <c r="AI108" s="842"/>
      <c r="AJ108" s="842"/>
      <c r="AK108" s="842"/>
      <c r="AL108" s="842"/>
      <c r="AM108" s="842"/>
      <c r="AN108" s="842"/>
      <c r="AO108" s="842"/>
      <c r="AP108" s="842"/>
      <c r="AQ108" s="842"/>
      <c r="AR108" s="842"/>
      <c r="AS108" s="842"/>
      <c r="AT108" s="842"/>
      <c r="AU108" s="842"/>
      <c r="AV108" s="842"/>
      <c r="AW108" s="842"/>
      <c r="AX108" s="842"/>
      <c r="AY108" s="842"/>
      <c r="AZ108" s="842"/>
    </row>
    <row r="109" spans="1:52" x14ac:dyDescent="0.2">
      <c r="A109" s="842"/>
      <c r="B109" s="914"/>
      <c r="C109" s="914"/>
      <c r="D109" s="914"/>
      <c r="E109" s="914"/>
      <c r="F109" s="914"/>
      <c r="G109" s="914"/>
      <c r="H109" s="914"/>
      <c r="I109" s="914"/>
      <c r="J109" s="914"/>
      <c r="K109" s="842"/>
      <c r="L109" s="842"/>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2"/>
      <c r="AL109" s="842"/>
      <c r="AM109" s="842"/>
      <c r="AN109" s="842"/>
      <c r="AO109" s="842"/>
      <c r="AP109" s="842"/>
      <c r="AQ109" s="842"/>
      <c r="AR109" s="842"/>
      <c r="AS109" s="842"/>
      <c r="AT109" s="842"/>
      <c r="AU109" s="842"/>
      <c r="AV109" s="842"/>
      <c r="AW109" s="842"/>
      <c r="AX109" s="842"/>
      <c r="AY109" s="842"/>
      <c r="AZ109" s="842"/>
    </row>
    <row r="110" spans="1:52" x14ac:dyDescent="0.2">
      <c r="A110" s="842"/>
      <c r="B110" s="914"/>
      <c r="C110" s="914"/>
      <c r="D110" s="914"/>
      <c r="E110" s="914"/>
      <c r="F110" s="914"/>
      <c r="G110" s="914"/>
      <c r="H110" s="914"/>
      <c r="I110" s="914"/>
      <c r="J110" s="914"/>
      <c r="K110" s="842"/>
      <c r="L110" s="842"/>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842"/>
      <c r="AJ110" s="842"/>
      <c r="AK110" s="842"/>
      <c r="AL110" s="842"/>
      <c r="AM110" s="842"/>
      <c r="AN110" s="842"/>
      <c r="AO110" s="842"/>
      <c r="AP110" s="842"/>
      <c r="AQ110" s="842"/>
      <c r="AR110" s="842"/>
      <c r="AS110" s="842"/>
      <c r="AT110" s="842"/>
      <c r="AU110" s="842"/>
      <c r="AV110" s="842"/>
      <c r="AW110" s="842"/>
      <c r="AX110" s="842"/>
      <c r="AY110" s="842"/>
      <c r="AZ110" s="842"/>
    </row>
    <row r="111" spans="1:52" x14ac:dyDescent="0.2">
      <c r="A111" s="842"/>
      <c r="B111" s="914"/>
      <c r="C111" s="914"/>
      <c r="D111" s="914"/>
      <c r="E111" s="914"/>
      <c r="F111" s="914"/>
      <c r="G111" s="914"/>
      <c r="H111" s="914"/>
      <c r="I111" s="914"/>
      <c r="J111" s="914"/>
      <c r="K111" s="842"/>
      <c r="L111" s="842"/>
      <c r="M111" s="842"/>
      <c r="N111" s="842"/>
      <c r="O111" s="842"/>
      <c r="P111" s="842"/>
      <c r="Q111" s="842"/>
      <c r="R111" s="842"/>
      <c r="S111" s="842"/>
      <c r="T111" s="842"/>
      <c r="U111" s="842"/>
      <c r="V111" s="842"/>
      <c r="W111" s="842"/>
      <c r="X111" s="842"/>
      <c r="Y111" s="842"/>
      <c r="Z111" s="842"/>
      <c r="AA111" s="842"/>
      <c r="AB111" s="842"/>
      <c r="AC111" s="842"/>
      <c r="AD111" s="842"/>
      <c r="AE111" s="842"/>
      <c r="AF111" s="842"/>
      <c r="AG111" s="842"/>
      <c r="AH111" s="842"/>
      <c r="AI111" s="842"/>
      <c r="AJ111" s="842"/>
      <c r="AK111" s="842"/>
      <c r="AL111" s="842"/>
      <c r="AM111" s="842"/>
      <c r="AN111" s="842"/>
      <c r="AO111" s="842"/>
      <c r="AP111" s="842"/>
      <c r="AQ111" s="842"/>
      <c r="AR111" s="842"/>
      <c r="AS111" s="842"/>
      <c r="AT111" s="842"/>
      <c r="AU111" s="842"/>
      <c r="AV111" s="842"/>
      <c r="AW111" s="842"/>
      <c r="AX111" s="842"/>
      <c r="AY111" s="842"/>
      <c r="AZ111" s="842"/>
    </row>
    <row r="112" spans="1:52" x14ac:dyDescent="0.2">
      <c r="A112" s="842"/>
      <c r="B112" s="914"/>
      <c r="C112" s="914"/>
      <c r="D112" s="914"/>
      <c r="E112" s="914"/>
      <c r="F112" s="914"/>
      <c r="G112" s="914"/>
      <c r="H112" s="914"/>
      <c r="I112" s="914"/>
      <c r="J112" s="914"/>
      <c r="K112" s="842"/>
      <c r="L112" s="842"/>
      <c r="M112" s="842"/>
      <c r="N112" s="842"/>
      <c r="O112" s="842"/>
      <c r="P112" s="842"/>
      <c r="Q112" s="842"/>
      <c r="R112" s="842"/>
      <c r="S112" s="842"/>
      <c r="T112" s="842"/>
      <c r="U112" s="842"/>
      <c r="V112" s="842"/>
      <c r="W112" s="842"/>
      <c r="X112" s="842"/>
      <c r="Y112" s="842"/>
      <c r="Z112" s="842"/>
      <c r="AA112" s="842"/>
      <c r="AB112" s="842"/>
      <c r="AC112" s="842"/>
      <c r="AD112" s="842"/>
      <c r="AE112" s="842"/>
      <c r="AF112" s="842"/>
      <c r="AG112" s="842"/>
      <c r="AH112" s="842"/>
      <c r="AI112" s="842"/>
      <c r="AJ112" s="842"/>
      <c r="AK112" s="842"/>
      <c r="AL112" s="842"/>
      <c r="AM112" s="842"/>
      <c r="AN112" s="842"/>
      <c r="AO112" s="842"/>
      <c r="AP112" s="842"/>
      <c r="AQ112" s="842"/>
      <c r="AR112" s="842"/>
      <c r="AS112" s="842"/>
      <c r="AT112" s="842"/>
      <c r="AU112" s="842"/>
      <c r="AV112" s="842"/>
      <c r="AW112" s="842"/>
      <c r="AX112" s="842"/>
      <c r="AY112" s="842"/>
      <c r="AZ112" s="842"/>
    </row>
    <row r="113" spans="1:52" x14ac:dyDescent="0.2">
      <c r="A113" s="842"/>
      <c r="B113" s="914"/>
      <c r="C113" s="914"/>
      <c r="D113" s="914"/>
      <c r="E113" s="914"/>
      <c r="F113" s="914"/>
      <c r="G113" s="914"/>
      <c r="H113" s="914"/>
      <c r="I113" s="914"/>
      <c r="J113" s="914"/>
      <c r="K113" s="842"/>
      <c r="L113" s="842"/>
      <c r="M113" s="842"/>
      <c r="N113" s="842"/>
      <c r="O113" s="842"/>
      <c r="P113" s="842"/>
      <c r="Q113" s="842"/>
      <c r="R113" s="842"/>
      <c r="S113" s="842"/>
      <c r="T113" s="842"/>
      <c r="U113" s="842"/>
      <c r="V113" s="842"/>
      <c r="W113" s="842"/>
      <c r="X113" s="842"/>
      <c r="Y113" s="842"/>
      <c r="Z113" s="842"/>
      <c r="AA113" s="842"/>
      <c r="AB113" s="842"/>
      <c r="AC113" s="842"/>
      <c r="AD113" s="842"/>
      <c r="AE113" s="842"/>
      <c r="AF113" s="842"/>
      <c r="AG113" s="842"/>
      <c r="AH113" s="842"/>
      <c r="AI113" s="842"/>
      <c r="AJ113" s="842"/>
      <c r="AK113" s="842"/>
      <c r="AL113" s="842"/>
      <c r="AM113" s="842"/>
      <c r="AN113" s="842"/>
      <c r="AO113" s="842"/>
      <c r="AP113" s="842"/>
      <c r="AQ113" s="842"/>
      <c r="AR113" s="842"/>
      <c r="AS113" s="842"/>
      <c r="AT113" s="842"/>
      <c r="AU113" s="842"/>
      <c r="AV113" s="842"/>
      <c r="AW113" s="842"/>
      <c r="AX113" s="842"/>
      <c r="AY113" s="842"/>
      <c r="AZ113" s="842"/>
    </row>
    <row r="114" spans="1:52" x14ac:dyDescent="0.2">
      <c r="A114" s="842"/>
      <c r="B114" s="914"/>
      <c r="C114" s="914"/>
      <c r="D114" s="914"/>
      <c r="E114" s="914"/>
      <c r="F114" s="914"/>
      <c r="G114" s="914"/>
      <c r="H114" s="914"/>
      <c r="I114" s="914"/>
      <c r="J114" s="914"/>
      <c r="K114" s="842"/>
      <c r="L114" s="842"/>
      <c r="M114" s="842"/>
      <c r="N114" s="842"/>
      <c r="O114" s="842"/>
      <c r="P114" s="842"/>
      <c r="Q114" s="842"/>
      <c r="R114" s="842"/>
      <c r="S114" s="842"/>
      <c r="T114" s="842"/>
      <c r="U114" s="842"/>
      <c r="V114" s="842"/>
      <c r="W114" s="842"/>
      <c r="X114" s="842"/>
      <c r="Y114" s="842"/>
      <c r="Z114" s="842"/>
      <c r="AA114" s="842"/>
      <c r="AB114" s="842"/>
      <c r="AC114" s="842"/>
      <c r="AD114" s="842"/>
      <c r="AE114" s="842"/>
      <c r="AF114" s="842"/>
      <c r="AG114" s="842"/>
      <c r="AH114" s="842"/>
      <c r="AI114" s="842"/>
      <c r="AJ114" s="842"/>
      <c r="AK114" s="842"/>
      <c r="AL114" s="842"/>
      <c r="AM114" s="842"/>
      <c r="AN114" s="842"/>
      <c r="AO114" s="842"/>
      <c r="AP114" s="842"/>
      <c r="AQ114" s="842"/>
      <c r="AR114" s="842"/>
      <c r="AS114" s="842"/>
      <c r="AT114" s="842"/>
      <c r="AU114" s="842"/>
      <c r="AV114" s="842"/>
      <c r="AW114" s="842"/>
      <c r="AX114" s="842"/>
      <c r="AY114" s="842"/>
      <c r="AZ114" s="842"/>
    </row>
    <row r="115" spans="1:52" x14ac:dyDescent="0.2">
      <c r="A115" s="842"/>
      <c r="B115" s="914"/>
      <c r="C115" s="914"/>
      <c r="D115" s="914"/>
      <c r="E115" s="914"/>
      <c r="F115" s="914"/>
      <c r="G115" s="914"/>
      <c r="H115" s="914"/>
      <c r="I115" s="914"/>
      <c r="J115" s="914"/>
      <c r="K115" s="842"/>
      <c r="L115" s="842"/>
      <c r="M115" s="842"/>
      <c r="N115" s="842"/>
      <c r="O115" s="842"/>
      <c r="P115" s="842"/>
      <c r="Q115" s="842"/>
      <c r="R115" s="842"/>
      <c r="S115" s="842"/>
      <c r="T115" s="842"/>
      <c r="U115" s="842"/>
      <c r="V115" s="842"/>
      <c r="W115" s="842"/>
      <c r="X115" s="842"/>
      <c r="Y115" s="842"/>
      <c r="Z115" s="842"/>
      <c r="AA115" s="842"/>
      <c r="AB115" s="842"/>
      <c r="AC115" s="842"/>
      <c r="AD115" s="842"/>
      <c r="AE115" s="842"/>
      <c r="AF115" s="842"/>
      <c r="AG115" s="842"/>
      <c r="AH115" s="842"/>
      <c r="AI115" s="842"/>
      <c r="AJ115" s="842"/>
      <c r="AK115" s="842"/>
      <c r="AL115" s="842"/>
      <c r="AM115" s="842"/>
      <c r="AN115" s="842"/>
      <c r="AO115" s="842"/>
      <c r="AP115" s="842"/>
      <c r="AQ115" s="842"/>
      <c r="AR115" s="842"/>
      <c r="AS115" s="842"/>
      <c r="AT115" s="842"/>
      <c r="AU115" s="842"/>
      <c r="AV115" s="842"/>
      <c r="AW115" s="842"/>
      <c r="AX115" s="842"/>
      <c r="AY115" s="842"/>
      <c r="AZ115" s="842"/>
    </row>
    <row r="116" spans="1:52" x14ac:dyDescent="0.2">
      <c r="A116" s="842"/>
      <c r="B116" s="914"/>
      <c r="C116" s="914"/>
      <c r="D116" s="914"/>
      <c r="E116" s="914"/>
      <c r="F116" s="914"/>
      <c r="G116" s="914"/>
      <c r="H116" s="914"/>
      <c r="I116" s="914"/>
      <c r="J116" s="914"/>
      <c r="K116" s="842"/>
      <c r="L116" s="842"/>
      <c r="M116" s="842"/>
      <c r="N116" s="842"/>
      <c r="O116" s="842"/>
      <c r="P116" s="842"/>
      <c r="Q116" s="842"/>
      <c r="R116" s="842"/>
      <c r="S116" s="842"/>
      <c r="T116" s="842"/>
      <c r="U116" s="842"/>
      <c r="V116" s="842"/>
      <c r="W116" s="842"/>
      <c r="X116" s="842"/>
      <c r="Y116" s="842"/>
      <c r="Z116" s="842"/>
      <c r="AA116" s="842"/>
      <c r="AB116" s="842"/>
      <c r="AC116" s="842"/>
      <c r="AD116" s="842"/>
      <c r="AE116" s="842"/>
      <c r="AF116" s="842"/>
      <c r="AG116" s="842"/>
      <c r="AH116" s="842"/>
      <c r="AI116" s="842"/>
      <c r="AJ116" s="842"/>
      <c r="AK116" s="842"/>
      <c r="AL116" s="842"/>
      <c r="AM116" s="842"/>
      <c r="AN116" s="842"/>
      <c r="AO116" s="842"/>
      <c r="AP116" s="842"/>
      <c r="AQ116" s="842"/>
      <c r="AR116" s="842"/>
      <c r="AS116" s="842"/>
      <c r="AT116" s="842"/>
      <c r="AU116" s="842"/>
      <c r="AV116" s="842"/>
      <c r="AW116" s="842"/>
      <c r="AX116" s="842"/>
      <c r="AY116" s="842"/>
      <c r="AZ116" s="842"/>
    </row>
    <row r="117" spans="1:52" x14ac:dyDescent="0.2">
      <c r="A117" s="842"/>
      <c r="B117" s="914"/>
      <c r="C117" s="914"/>
      <c r="D117" s="914"/>
      <c r="E117" s="914"/>
      <c r="F117" s="914"/>
      <c r="G117" s="914"/>
      <c r="H117" s="914"/>
      <c r="I117" s="914"/>
      <c r="J117" s="914"/>
      <c r="K117" s="842"/>
      <c r="L117" s="842"/>
      <c r="M117" s="842"/>
      <c r="N117" s="842"/>
      <c r="O117" s="842"/>
      <c r="P117" s="842"/>
      <c r="Q117" s="842"/>
      <c r="R117" s="842"/>
      <c r="S117" s="842"/>
      <c r="T117" s="842"/>
      <c r="U117" s="842"/>
      <c r="V117" s="842"/>
      <c r="W117" s="842"/>
      <c r="X117" s="842"/>
      <c r="Y117" s="842"/>
      <c r="Z117" s="842"/>
      <c r="AA117" s="842"/>
      <c r="AB117" s="842"/>
      <c r="AC117" s="842"/>
      <c r="AD117" s="842"/>
      <c r="AE117" s="842"/>
      <c r="AF117" s="842"/>
      <c r="AG117" s="842"/>
      <c r="AH117" s="842"/>
      <c r="AI117" s="842"/>
      <c r="AJ117" s="842"/>
      <c r="AK117" s="842"/>
      <c r="AL117" s="842"/>
      <c r="AM117" s="842"/>
      <c r="AN117" s="842"/>
      <c r="AO117" s="842"/>
      <c r="AP117" s="842"/>
      <c r="AQ117" s="842"/>
      <c r="AR117" s="842"/>
      <c r="AS117" s="842"/>
      <c r="AT117" s="842"/>
      <c r="AU117" s="842"/>
      <c r="AV117" s="842"/>
      <c r="AW117" s="842"/>
      <c r="AX117" s="842"/>
      <c r="AY117" s="842"/>
      <c r="AZ117" s="842"/>
    </row>
    <row r="118" spans="1:52" x14ac:dyDescent="0.2">
      <c r="A118" s="842"/>
      <c r="B118" s="914"/>
      <c r="C118" s="914"/>
      <c r="D118" s="914"/>
      <c r="E118" s="914"/>
      <c r="F118" s="914"/>
      <c r="G118" s="914"/>
      <c r="H118" s="914"/>
      <c r="I118" s="914"/>
      <c r="J118" s="914"/>
      <c r="K118" s="842"/>
      <c r="L118" s="842"/>
      <c r="M118" s="842"/>
      <c r="N118" s="842"/>
      <c r="O118" s="842"/>
      <c r="P118" s="842"/>
      <c r="Q118" s="842"/>
      <c r="R118" s="842"/>
      <c r="S118" s="842"/>
      <c r="T118" s="842"/>
      <c r="U118" s="842"/>
      <c r="V118" s="842"/>
      <c r="W118" s="842"/>
      <c r="X118" s="842"/>
      <c r="Y118" s="842"/>
      <c r="Z118" s="842"/>
      <c r="AA118" s="842"/>
      <c r="AB118" s="842"/>
      <c r="AC118" s="842"/>
      <c r="AD118" s="842"/>
      <c r="AE118" s="842"/>
      <c r="AF118" s="842"/>
      <c r="AG118" s="842"/>
      <c r="AH118" s="842"/>
      <c r="AI118" s="842"/>
      <c r="AJ118" s="842"/>
      <c r="AK118" s="842"/>
      <c r="AL118" s="842"/>
      <c r="AM118" s="842"/>
      <c r="AN118" s="842"/>
      <c r="AO118" s="842"/>
      <c r="AP118" s="842"/>
      <c r="AQ118" s="842"/>
      <c r="AR118" s="842"/>
      <c r="AS118" s="842"/>
      <c r="AT118" s="842"/>
      <c r="AU118" s="842"/>
      <c r="AV118" s="842"/>
      <c r="AW118" s="842"/>
      <c r="AX118" s="842"/>
      <c r="AY118" s="842"/>
      <c r="AZ118" s="842"/>
    </row>
    <row r="119" spans="1:52" x14ac:dyDescent="0.2">
      <c r="A119" s="842"/>
      <c r="B119" s="914"/>
      <c r="C119" s="914"/>
      <c r="D119" s="914"/>
      <c r="E119" s="914"/>
      <c r="F119" s="914"/>
      <c r="G119" s="914"/>
      <c r="H119" s="914"/>
      <c r="I119" s="914"/>
      <c r="J119" s="914"/>
      <c r="K119" s="842"/>
      <c r="L119" s="842"/>
      <c r="M119" s="842"/>
      <c r="N119" s="842"/>
      <c r="O119" s="842"/>
      <c r="P119" s="842"/>
      <c r="Q119" s="842"/>
      <c r="R119" s="842"/>
      <c r="S119" s="842"/>
      <c r="T119" s="842"/>
      <c r="U119" s="842"/>
      <c r="V119" s="842"/>
      <c r="W119" s="842"/>
      <c r="X119" s="842"/>
      <c r="Y119" s="842"/>
      <c r="Z119" s="842"/>
      <c r="AA119" s="842"/>
      <c r="AB119" s="842"/>
      <c r="AC119" s="842"/>
      <c r="AD119" s="842"/>
      <c r="AE119" s="842"/>
      <c r="AF119" s="842"/>
      <c r="AG119" s="842"/>
      <c r="AH119" s="842"/>
      <c r="AI119" s="842"/>
      <c r="AJ119" s="842"/>
      <c r="AK119" s="842"/>
      <c r="AL119" s="842"/>
      <c r="AM119" s="842"/>
      <c r="AN119" s="842"/>
      <c r="AO119" s="842"/>
      <c r="AP119" s="842"/>
      <c r="AQ119" s="842"/>
      <c r="AR119" s="842"/>
      <c r="AS119" s="842"/>
      <c r="AT119" s="842"/>
      <c r="AU119" s="842"/>
      <c r="AV119" s="842"/>
      <c r="AW119" s="842"/>
      <c r="AX119" s="842"/>
      <c r="AY119" s="842"/>
      <c r="AZ119" s="842"/>
    </row>
    <row r="120" spans="1:52" x14ac:dyDescent="0.2">
      <c r="A120" s="842"/>
      <c r="B120" s="914"/>
      <c r="C120" s="914"/>
      <c r="D120" s="914"/>
      <c r="E120" s="914"/>
      <c r="F120" s="914"/>
      <c r="G120" s="914"/>
      <c r="H120" s="914"/>
      <c r="I120" s="914"/>
      <c r="J120" s="914"/>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2"/>
      <c r="AM120" s="842"/>
      <c r="AN120" s="842"/>
      <c r="AO120" s="842"/>
      <c r="AP120" s="842"/>
      <c r="AQ120" s="842"/>
      <c r="AR120" s="842"/>
      <c r="AS120" s="842"/>
      <c r="AT120" s="842"/>
      <c r="AU120" s="842"/>
      <c r="AV120" s="842"/>
      <c r="AW120" s="842"/>
      <c r="AX120" s="842"/>
      <c r="AY120" s="842"/>
      <c r="AZ120" s="842"/>
    </row>
    <row r="121" spans="1:52" x14ac:dyDescent="0.2">
      <c r="A121" s="842"/>
      <c r="B121" s="914"/>
      <c r="C121" s="914"/>
      <c r="D121" s="914"/>
      <c r="E121" s="914"/>
      <c r="F121" s="914"/>
      <c r="G121" s="914"/>
      <c r="H121" s="914"/>
      <c r="I121" s="914"/>
      <c r="J121" s="914"/>
      <c r="K121" s="842"/>
      <c r="L121" s="842"/>
      <c r="M121" s="842"/>
      <c r="N121" s="842"/>
      <c r="O121" s="842"/>
      <c r="P121" s="842"/>
      <c r="Q121" s="842"/>
      <c r="R121" s="842"/>
      <c r="S121" s="842"/>
      <c r="T121" s="842"/>
      <c r="U121" s="842"/>
      <c r="V121" s="842"/>
      <c r="W121" s="842"/>
      <c r="X121" s="842"/>
      <c r="Y121" s="842"/>
      <c r="Z121" s="842"/>
      <c r="AA121" s="842"/>
      <c r="AB121" s="842"/>
      <c r="AC121" s="842"/>
      <c r="AD121" s="842"/>
      <c r="AE121" s="842"/>
      <c r="AF121" s="842"/>
      <c r="AG121" s="842"/>
      <c r="AH121" s="842"/>
      <c r="AI121" s="842"/>
      <c r="AJ121" s="842"/>
      <c r="AK121" s="842"/>
      <c r="AL121" s="842"/>
      <c r="AM121" s="842"/>
      <c r="AN121" s="842"/>
      <c r="AO121" s="842"/>
      <c r="AP121" s="842"/>
      <c r="AQ121" s="842"/>
      <c r="AR121" s="842"/>
      <c r="AS121" s="842"/>
      <c r="AT121" s="842"/>
      <c r="AU121" s="842"/>
      <c r="AV121" s="842"/>
      <c r="AW121" s="842"/>
      <c r="AX121" s="842"/>
      <c r="AY121" s="842"/>
      <c r="AZ121" s="842"/>
    </row>
    <row r="122" spans="1:52" x14ac:dyDescent="0.2">
      <c r="A122" s="842"/>
      <c r="B122" s="914"/>
      <c r="C122" s="914"/>
      <c r="D122" s="914"/>
      <c r="E122" s="914"/>
      <c r="F122" s="914"/>
      <c r="G122" s="914"/>
      <c r="H122" s="914"/>
      <c r="I122" s="914"/>
      <c r="J122" s="914"/>
      <c r="K122" s="842"/>
      <c r="L122" s="842"/>
      <c r="M122" s="842"/>
      <c r="N122" s="842"/>
      <c r="O122" s="842"/>
      <c r="P122" s="842"/>
      <c r="Q122" s="842"/>
      <c r="R122" s="842"/>
      <c r="S122" s="842"/>
      <c r="T122" s="842"/>
      <c r="U122" s="842"/>
      <c r="V122" s="842"/>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42"/>
      <c r="AR122" s="842"/>
      <c r="AS122" s="842"/>
      <c r="AT122" s="842"/>
      <c r="AU122" s="842"/>
      <c r="AV122" s="842"/>
      <c r="AW122" s="842"/>
      <c r="AX122" s="842"/>
      <c r="AY122" s="842"/>
      <c r="AZ122" s="842"/>
    </row>
    <row r="123" spans="1:52" x14ac:dyDescent="0.2">
      <c r="A123" s="842"/>
      <c r="B123" s="914"/>
      <c r="C123" s="914"/>
      <c r="D123" s="914"/>
      <c r="E123" s="914"/>
      <c r="F123" s="914"/>
      <c r="G123" s="914"/>
      <c r="H123" s="914"/>
      <c r="I123" s="914"/>
      <c r="J123" s="914"/>
      <c r="K123" s="842"/>
      <c r="L123" s="842"/>
      <c r="M123" s="842"/>
      <c r="N123" s="842"/>
      <c r="O123" s="842"/>
      <c r="P123" s="842"/>
      <c r="Q123" s="842"/>
      <c r="R123" s="842"/>
      <c r="S123" s="842"/>
      <c r="T123" s="842"/>
      <c r="U123" s="842"/>
      <c r="V123" s="842"/>
      <c r="W123" s="842"/>
      <c r="X123" s="842"/>
      <c r="Y123" s="842"/>
      <c r="Z123" s="842"/>
      <c r="AA123" s="842"/>
      <c r="AB123" s="842"/>
      <c r="AC123" s="842"/>
      <c r="AD123" s="842"/>
      <c r="AE123" s="842"/>
      <c r="AF123" s="842"/>
      <c r="AG123" s="842"/>
      <c r="AH123" s="842"/>
      <c r="AI123" s="842"/>
      <c r="AJ123" s="842"/>
      <c r="AK123" s="842"/>
      <c r="AL123" s="842"/>
      <c r="AM123" s="842"/>
      <c r="AN123" s="842"/>
      <c r="AO123" s="842"/>
      <c r="AP123" s="842"/>
      <c r="AQ123" s="842"/>
      <c r="AR123" s="842"/>
      <c r="AS123" s="842"/>
      <c r="AT123" s="842"/>
      <c r="AU123" s="842"/>
      <c r="AV123" s="842"/>
      <c r="AW123" s="842"/>
      <c r="AX123" s="842"/>
      <c r="AY123" s="842"/>
      <c r="AZ123" s="842"/>
    </row>
    <row r="124" spans="1:52" x14ac:dyDescent="0.2">
      <c r="A124" s="842"/>
      <c r="B124" s="914"/>
      <c r="C124" s="914"/>
      <c r="D124" s="914"/>
      <c r="E124" s="914"/>
      <c r="F124" s="914"/>
      <c r="G124" s="914"/>
      <c r="H124" s="914"/>
      <c r="I124" s="914"/>
      <c r="J124" s="914"/>
      <c r="K124" s="842"/>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2"/>
      <c r="AS124" s="842"/>
      <c r="AT124" s="842"/>
      <c r="AU124" s="842"/>
      <c r="AV124" s="842"/>
      <c r="AW124" s="842"/>
      <c r="AX124" s="842"/>
      <c r="AY124" s="842"/>
      <c r="AZ124" s="842"/>
    </row>
    <row r="125" spans="1:52" x14ac:dyDescent="0.2">
      <c r="A125" s="842"/>
      <c r="B125" s="914"/>
      <c r="C125" s="914"/>
      <c r="D125" s="914"/>
      <c r="E125" s="914"/>
      <c r="F125" s="914"/>
      <c r="G125" s="914"/>
      <c r="H125" s="914"/>
      <c r="I125" s="914"/>
      <c r="J125" s="914"/>
      <c r="K125" s="842"/>
      <c r="L125" s="842"/>
      <c r="M125" s="842"/>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2"/>
      <c r="AL125" s="842"/>
      <c r="AM125" s="842"/>
      <c r="AN125" s="842"/>
      <c r="AO125" s="842"/>
      <c r="AP125" s="842"/>
      <c r="AQ125" s="842"/>
      <c r="AR125" s="842"/>
      <c r="AS125" s="842"/>
      <c r="AT125" s="842"/>
      <c r="AU125" s="842"/>
      <c r="AV125" s="842"/>
      <c r="AW125" s="842"/>
      <c r="AX125" s="842"/>
      <c r="AY125" s="842"/>
      <c r="AZ125" s="842"/>
    </row>
    <row r="126" spans="1:52" x14ac:dyDescent="0.2">
      <c r="A126" s="842"/>
      <c r="B126" s="914"/>
      <c r="C126" s="914"/>
      <c r="D126" s="914"/>
      <c r="E126" s="914"/>
      <c r="F126" s="914"/>
      <c r="G126" s="914"/>
      <c r="H126" s="914"/>
      <c r="I126" s="914"/>
      <c r="J126" s="914"/>
      <c r="K126" s="842"/>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842"/>
      <c r="AL126" s="842"/>
      <c r="AM126" s="842"/>
      <c r="AN126" s="842"/>
      <c r="AO126" s="842"/>
      <c r="AP126" s="842"/>
      <c r="AQ126" s="842"/>
      <c r="AR126" s="842"/>
      <c r="AS126" s="842"/>
      <c r="AT126" s="842"/>
      <c r="AU126" s="842"/>
      <c r="AV126" s="842"/>
      <c r="AW126" s="842"/>
      <c r="AX126" s="842"/>
      <c r="AY126" s="842"/>
      <c r="AZ126" s="842"/>
    </row>
    <row r="127" spans="1:52" x14ac:dyDescent="0.2">
      <c r="A127" s="842"/>
      <c r="B127" s="914"/>
      <c r="C127" s="914"/>
      <c r="D127" s="914"/>
      <c r="E127" s="914"/>
      <c r="F127" s="914"/>
      <c r="G127" s="914"/>
      <c r="H127" s="914"/>
      <c r="I127" s="914"/>
      <c r="J127" s="914"/>
      <c r="K127" s="842"/>
      <c r="L127" s="842"/>
      <c r="M127" s="842"/>
      <c r="N127" s="842"/>
      <c r="O127" s="842"/>
      <c r="P127" s="842"/>
      <c r="Q127" s="842"/>
      <c r="R127" s="842"/>
      <c r="S127" s="842"/>
      <c r="T127" s="842"/>
      <c r="U127" s="842"/>
      <c r="V127" s="842"/>
      <c r="W127" s="842"/>
      <c r="X127" s="842"/>
      <c r="Y127" s="842"/>
      <c r="Z127" s="842"/>
      <c r="AA127" s="842"/>
      <c r="AB127" s="842"/>
      <c r="AC127" s="842"/>
      <c r="AD127" s="842"/>
      <c r="AE127" s="842"/>
      <c r="AF127" s="842"/>
      <c r="AG127" s="842"/>
      <c r="AH127" s="842"/>
      <c r="AI127" s="842"/>
      <c r="AJ127" s="842"/>
      <c r="AK127" s="842"/>
      <c r="AL127" s="842"/>
      <c r="AM127" s="842"/>
      <c r="AN127" s="842"/>
      <c r="AO127" s="842"/>
      <c r="AP127" s="842"/>
      <c r="AQ127" s="842"/>
      <c r="AR127" s="842"/>
      <c r="AS127" s="842"/>
      <c r="AT127" s="842"/>
      <c r="AU127" s="842"/>
      <c r="AV127" s="842"/>
      <c r="AW127" s="842"/>
      <c r="AX127" s="842"/>
      <c r="AY127" s="842"/>
      <c r="AZ127" s="842"/>
    </row>
    <row r="128" spans="1:52" x14ac:dyDescent="0.2">
      <c r="A128" s="842"/>
      <c r="B128" s="914"/>
      <c r="C128" s="914"/>
      <c r="D128" s="914"/>
      <c r="E128" s="914"/>
      <c r="F128" s="914"/>
      <c r="G128" s="914"/>
      <c r="H128" s="914"/>
      <c r="I128" s="914"/>
      <c r="J128" s="914"/>
      <c r="K128" s="842"/>
      <c r="L128" s="842"/>
      <c r="M128" s="842"/>
      <c r="N128" s="842"/>
      <c r="O128" s="842"/>
      <c r="P128" s="842"/>
      <c r="Q128" s="842"/>
      <c r="R128" s="842"/>
      <c r="S128" s="842"/>
      <c r="T128" s="842"/>
      <c r="U128" s="842"/>
      <c r="V128" s="842"/>
      <c r="W128" s="842"/>
      <c r="X128" s="842"/>
      <c r="Y128" s="842"/>
      <c r="Z128" s="842"/>
      <c r="AA128" s="842"/>
      <c r="AB128" s="842"/>
      <c r="AC128" s="842"/>
      <c r="AD128" s="842"/>
      <c r="AE128" s="842"/>
      <c r="AF128" s="842"/>
      <c r="AG128" s="842"/>
      <c r="AH128" s="842"/>
      <c r="AI128" s="842"/>
      <c r="AJ128" s="842"/>
      <c r="AK128" s="842"/>
      <c r="AL128" s="842"/>
      <c r="AM128" s="842"/>
      <c r="AN128" s="842"/>
      <c r="AO128" s="842"/>
      <c r="AP128" s="842"/>
      <c r="AQ128" s="842"/>
      <c r="AR128" s="842"/>
      <c r="AS128" s="842"/>
      <c r="AT128" s="842"/>
      <c r="AU128" s="842"/>
      <c r="AV128" s="842"/>
      <c r="AW128" s="842"/>
      <c r="AX128" s="842"/>
      <c r="AY128" s="842"/>
      <c r="AZ128" s="842"/>
    </row>
    <row r="129" spans="1:52" x14ac:dyDescent="0.2">
      <c r="A129" s="842"/>
      <c r="B129" s="914"/>
      <c r="C129" s="914"/>
      <c r="D129" s="914"/>
      <c r="E129" s="914"/>
      <c r="F129" s="914"/>
      <c r="G129" s="914"/>
      <c r="H129" s="914"/>
      <c r="I129" s="914"/>
      <c r="J129" s="914"/>
      <c r="K129" s="842"/>
      <c r="L129" s="842"/>
      <c r="M129" s="842"/>
      <c r="N129" s="842"/>
      <c r="O129" s="842"/>
      <c r="P129" s="842"/>
      <c r="Q129" s="842"/>
      <c r="R129" s="842"/>
      <c r="S129" s="842"/>
      <c r="T129" s="842"/>
      <c r="U129" s="842"/>
      <c r="V129" s="842"/>
      <c r="W129" s="842"/>
      <c r="X129" s="842"/>
      <c r="Y129" s="842"/>
      <c r="Z129" s="842"/>
      <c r="AA129" s="842"/>
      <c r="AB129" s="842"/>
      <c r="AC129" s="842"/>
      <c r="AD129" s="842"/>
      <c r="AE129" s="842"/>
      <c r="AF129" s="842"/>
      <c r="AG129" s="842"/>
      <c r="AH129" s="842"/>
      <c r="AI129" s="842"/>
      <c r="AJ129" s="842"/>
      <c r="AK129" s="842"/>
      <c r="AL129" s="842"/>
      <c r="AM129" s="842"/>
      <c r="AN129" s="842"/>
      <c r="AO129" s="842"/>
      <c r="AP129" s="842"/>
      <c r="AQ129" s="842"/>
      <c r="AR129" s="842"/>
      <c r="AS129" s="842"/>
      <c r="AT129" s="842"/>
      <c r="AU129" s="842"/>
      <c r="AV129" s="842"/>
      <c r="AW129" s="842"/>
      <c r="AX129" s="842"/>
      <c r="AY129" s="842"/>
      <c r="AZ129" s="842"/>
    </row>
    <row r="130" spans="1:52" x14ac:dyDescent="0.2">
      <c r="A130" s="842"/>
      <c r="B130" s="914"/>
      <c r="C130" s="914"/>
      <c r="D130" s="914"/>
      <c r="E130" s="914"/>
      <c r="F130" s="914"/>
      <c r="G130" s="914"/>
      <c r="H130" s="914"/>
      <c r="I130" s="914"/>
      <c r="J130" s="914"/>
      <c r="K130" s="842"/>
      <c r="L130" s="842"/>
      <c r="M130" s="842"/>
      <c r="N130" s="842"/>
      <c r="O130" s="842"/>
      <c r="P130" s="842"/>
      <c r="Q130" s="842"/>
      <c r="R130" s="842"/>
      <c r="S130" s="842"/>
      <c r="T130" s="842"/>
      <c r="U130" s="842"/>
      <c r="V130" s="842"/>
      <c r="W130" s="842"/>
      <c r="X130" s="842"/>
      <c r="Y130" s="842"/>
      <c r="Z130" s="842"/>
      <c r="AA130" s="842"/>
      <c r="AB130" s="842"/>
      <c r="AC130" s="842"/>
      <c r="AD130" s="842"/>
      <c r="AE130" s="842"/>
      <c r="AF130" s="842"/>
      <c r="AG130" s="842"/>
      <c r="AH130" s="842"/>
      <c r="AI130" s="842"/>
      <c r="AJ130" s="842"/>
      <c r="AK130" s="842"/>
      <c r="AL130" s="842"/>
      <c r="AM130" s="842"/>
      <c r="AN130" s="842"/>
      <c r="AO130" s="842"/>
      <c r="AP130" s="842"/>
      <c r="AQ130" s="842"/>
      <c r="AR130" s="842"/>
      <c r="AS130" s="842"/>
      <c r="AT130" s="842"/>
      <c r="AU130" s="842"/>
      <c r="AV130" s="842"/>
      <c r="AW130" s="842"/>
      <c r="AX130" s="842"/>
      <c r="AY130" s="842"/>
      <c r="AZ130" s="842"/>
    </row>
    <row r="131" spans="1:52" x14ac:dyDescent="0.2">
      <c r="A131" s="842"/>
      <c r="B131" s="914"/>
      <c r="C131" s="914"/>
      <c r="D131" s="914"/>
      <c r="E131" s="914"/>
      <c r="F131" s="914"/>
      <c r="G131" s="914"/>
      <c r="H131" s="914"/>
      <c r="I131" s="914"/>
      <c r="J131" s="914"/>
      <c r="K131" s="842"/>
      <c r="L131" s="842"/>
      <c r="M131" s="842"/>
      <c r="N131" s="842"/>
      <c r="O131" s="842"/>
      <c r="P131" s="842"/>
      <c r="Q131" s="842"/>
      <c r="R131" s="842"/>
      <c r="S131" s="842"/>
      <c r="T131" s="842"/>
      <c r="U131" s="842"/>
      <c r="V131" s="842"/>
      <c r="W131" s="842"/>
      <c r="X131" s="842"/>
      <c r="Y131" s="842"/>
      <c r="Z131" s="842"/>
      <c r="AA131" s="842"/>
      <c r="AB131" s="842"/>
      <c r="AC131" s="842"/>
      <c r="AD131" s="842"/>
      <c r="AE131" s="842"/>
      <c r="AF131" s="842"/>
      <c r="AG131" s="842"/>
      <c r="AH131" s="842"/>
      <c r="AI131" s="842"/>
      <c r="AJ131" s="842"/>
      <c r="AK131" s="842"/>
      <c r="AL131" s="842"/>
      <c r="AM131" s="842"/>
      <c r="AN131" s="842"/>
      <c r="AO131" s="842"/>
      <c r="AP131" s="842"/>
      <c r="AQ131" s="842"/>
      <c r="AR131" s="842"/>
      <c r="AS131" s="842"/>
      <c r="AT131" s="842"/>
      <c r="AU131" s="842"/>
      <c r="AV131" s="842"/>
      <c r="AW131" s="842"/>
      <c r="AX131" s="842"/>
      <c r="AY131" s="842"/>
      <c r="AZ131" s="842"/>
    </row>
    <row r="132" spans="1:52" x14ac:dyDescent="0.2">
      <c r="A132" s="842"/>
      <c r="B132" s="914"/>
      <c r="C132" s="914"/>
      <c r="D132" s="914"/>
      <c r="E132" s="914"/>
      <c r="F132" s="914"/>
      <c r="G132" s="914"/>
      <c r="H132" s="914"/>
      <c r="I132" s="914"/>
      <c r="J132" s="914"/>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2"/>
      <c r="AL132" s="842"/>
      <c r="AM132" s="842"/>
      <c r="AN132" s="842"/>
      <c r="AO132" s="842"/>
      <c r="AP132" s="842"/>
      <c r="AQ132" s="842"/>
      <c r="AR132" s="842"/>
      <c r="AS132" s="842"/>
      <c r="AT132" s="842"/>
      <c r="AU132" s="842"/>
      <c r="AV132" s="842"/>
      <c r="AW132" s="842"/>
      <c r="AX132" s="842"/>
      <c r="AY132" s="842"/>
      <c r="AZ132" s="842"/>
    </row>
    <row r="133" spans="1:52" x14ac:dyDescent="0.2">
      <c r="A133" s="842"/>
      <c r="B133" s="914"/>
      <c r="C133" s="914"/>
      <c r="D133" s="914"/>
      <c r="E133" s="914"/>
      <c r="F133" s="914"/>
      <c r="G133" s="914"/>
      <c r="H133" s="914"/>
      <c r="I133" s="914"/>
      <c r="J133" s="914"/>
      <c r="K133" s="842"/>
      <c r="L133" s="842"/>
      <c r="M133" s="842"/>
      <c r="N133" s="842"/>
      <c r="O133" s="842"/>
      <c r="P133" s="842"/>
      <c r="Q133" s="842"/>
      <c r="R133" s="842"/>
      <c r="S133" s="842"/>
      <c r="T133" s="842"/>
      <c r="U133" s="842"/>
      <c r="V133" s="842"/>
      <c r="W133" s="842"/>
      <c r="X133" s="842"/>
      <c r="Y133" s="842"/>
      <c r="Z133" s="842"/>
      <c r="AA133" s="842"/>
      <c r="AB133" s="842"/>
      <c r="AC133" s="842"/>
      <c r="AD133" s="842"/>
      <c r="AE133" s="842"/>
      <c r="AF133" s="842"/>
      <c r="AG133" s="842"/>
      <c r="AH133" s="842"/>
      <c r="AI133" s="842"/>
      <c r="AJ133" s="842"/>
      <c r="AK133" s="842"/>
      <c r="AL133" s="842"/>
      <c r="AM133" s="842"/>
      <c r="AN133" s="842"/>
      <c r="AO133" s="842"/>
      <c r="AP133" s="842"/>
      <c r="AQ133" s="842"/>
      <c r="AR133" s="842"/>
      <c r="AS133" s="842"/>
      <c r="AT133" s="842"/>
      <c r="AU133" s="842"/>
      <c r="AV133" s="842"/>
      <c r="AW133" s="842"/>
      <c r="AX133" s="842"/>
      <c r="AY133" s="842"/>
      <c r="AZ133" s="842"/>
    </row>
    <row r="134" spans="1:52" x14ac:dyDescent="0.2">
      <c r="A134" s="842"/>
      <c r="B134" s="914"/>
      <c r="C134" s="914"/>
      <c r="D134" s="914"/>
      <c r="E134" s="914"/>
      <c r="F134" s="914"/>
      <c r="G134" s="914"/>
      <c r="H134" s="914"/>
      <c r="I134" s="914"/>
      <c r="J134" s="914"/>
      <c r="K134" s="842"/>
      <c r="L134" s="842"/>
      <c r="M134" s="842"/>
      <c r="N134" s="842"/>
      <c r="O134" s="842"/>
      <c r="P134" s="842"/>
      <c r="Q134" s="842"/>
      <c r="R134" s="842"/>
      <c r="S134" s="842"/>
      <c r="T134" s="842"/>
      <c r="U134" s="842"/>
      <c r="V134" s="842"/>
      <c r="W134" s="842"/>
      <c r="X134" s="842"/>
      <c r="Y134" s="842"/>
      <c r="Z134" s="842"/>
      <c r="AA134" s="842"/>
      <c r="AB134" s="842"/>
      <c r="AC134" s="842"/>
      <c r="AD134" s="842"/>
      <c r="AE134" s="842"/>
      <c r="AF134" s="842"/>
      <c r="AG134" s="842"/>
      <c r="AH134" s="842"/>
      <c r="AI134" s="842"/>
      <c r="AJ134" s="842"/>
      <c r="AK134" s="842"/>
      <c r="AL134" s="842"/>
      <c r="AM134" s="842"/>
      <c r="AN134" s="842"/>
      <c r="AO134" s="842"/>
      <c r="AP134" s="842"/>
      <c r="AQ134" s="842"/>
      <c r="AR134" s="842"/>
      <c r="AS134" s="842"/>
      <c r="AT134" s="842"/>
      <c r="AU134" s="842"/>
      <c r="AV134" s="842"/>
      <c r="AW134" s="842"/>
      <c r="AX134" s="842"/>
      <c r="AY134" s="842"/>
      <c r="AZ134" s="842"/>
    </row>
    <row r="135" spans="1:52" x14ac:dyDescent="0.2">
      <c r="A135" s="842"/>
      <c r="B135" s="914"/>
      <c r="C135" s="914"/>
      <c r="D135" s="914"/>
      <c r="E135" s="914"/>
      <c r="F135" s="914"/>
      <c r="G135" s="914"/>
      <c r="H135" s="914"/>
      <c r="I135" s="914"/>
      <c r="J135" s="914"/>
      <c r="K135" s="842"/>
      <c r="L135" s="842"/>
      <c r="M135" s="842"/>
      <c r="N135" s="842"/>
      <c r="O135" s="842"/>
      <c r="P135" s="842"/>
      <c r="Q135" s="842"/>
      <c r="R135" s="842"/>
      <c r="S135" s="842"/>
      <c r="T135" s="842"/>
      <c r="U135" s="842"/>
      <c r="V135" s="842"/>
      <c r="W135" s="842"/>
      <c r="X135" s="842"/>
      <c r="Y135" s="842"/>
      <c r="Z135" s="842"/>
      <c r="AA135" s="842"/>
      <c r="AB135" s="842"/>
      <c r="AC135" s="842"/>
      <c r="AD135" s="842"/>
      <c r="AE135" s="842"/>
      <c r="AF135" s="842"/>
      <c r="AG135" s="842"/>
      <c r="AH135" s="842"/>
      <c r="AI135" s="842"/>
      <c r="AJ135" s="842"/>
      <c r="AK135" s="842"/>
      <c r="AL135" s="842"/>
      <c r="AM135" s="842"/>
      <c r="AN135" s="842"/>
      <c r="AO135" s="842"/>
      <c r="AP135" s="842"/>
      <c r="AQ135" s="842"/>
      <c r="AR135" s="842"/>
      <c r="AS135" s="842"/>
      <c r="AT135" s="842"/>
      <c r="AU135" s="842"/>
      <c r="AV135" s="842"/>
      <c r="AW135" s="842"/>
      <c r="AX135" s="842"/>
      <c r="AY135" s="842"/>
      <c r="AZ135" s="842"/>
    </row>
    <row r="136" spans="1:52" x14ac:dyDescent="0.2">
      <c r="A136" s="842"/>
      <c r="B136" s="914"/>
      <c r="C136" s="914"/>
      <c r="D136" s="914"/>
      <c r="E136" s="914"/>
      <c r="F136" s="914"/>
      <c r="G136" s="914"/>
      <c r="H136" s="914"/>
      <c r="I136" s="914"/>
      <c r="J136" s="914"/>
      <c r="K136" s="842"/>
      <c r="L136" s="842"/>
      <c r="M136" s="842"/>
      <c r="N136" s="842"/>
      <c r="O136" s="842"/>
      <c r="P136" s="842"/>
      <c r="Q136" s="842"/>
      <c r="R136" s="842"/>
      <c r="S136" s="842"/>
      <c r="T136" s="842"/>
      <c r="U136" s="842"/>
      <c r="V136" s="842"/>
      <c r="W136" s="842"/>
      <c r="X136" s="842"/>
      <c r="Y136" s="842"/>
      <c r="Z136" s="842"/>
      <c r="AA136" s="842"/>
      <c r="AB136" s="842"/>
      <c r="AC136" s="842"/>
      <c r="AD136" s="842"/>
      <c r="AE136" s="842"/>
      <c r="AF136" s="842"/>
      <c r="AG136" s="842"/>
      <c r="AH136" s="842"/>
      <c r="AI136" s="842"/>
      <c r="AJ136" s="842"/>
      <c r="AK136" s="842"/>
      <c r="AL136" s="842"/>
      <c r="AM136" s="842"/>
      <c r="AN136" s="842"/>
      <c r="AO136" s="842"/>
      <c r="AP136" s="842"/>
      <c r="AQ136" s="842"/>
      <c r="AR136" s="842"/>
      <c r="AS136" s="842"/>
      <c r="AT136" s="842"/>
      <c r="AU136" s="842"/>
      <c r="AV136" s="842"/>
      <c r="AW136" s="842"/>
      <c r="AX136" s="842"/>
      <c r="AY136" s="842"/>
      <c r="AZ136" s="842"/>
    </row>
    <row r="137" spans="1:52" x14ac:dyDescent="0.2">
      <c r="A137" s="842"/>
      <c r="B137" s="914"/>
      <c r="C137" s="914"/>
      <c r="D137" s="914"/>
      <c r="E137" s="914"/>
      <c r="F137" s="914"/>
      <c r="G137" s="914"/>
      <c r="H137" s="914"/>
      <c r="I137" s="914"/>
      <c r="J137" s="914"/>
      <c r="K137" s="842"/>
      <c r="L137" s="842"/>
      <c r="M137" s="842"/>
      <c r="N137" s="842"/>
      <c r="O137" s="842"/>
      <c r="P137" s="842"/>
      <c r="Q137" s="842"/>
      <c r="R137" s="842"/>
      <c r="S137" s="842"/>
      <c r="T137" s="842"/>
      <c r="U137" s="842"/>
      <c r="V137" s="842"/>
      <c r="W137" s="842"/>
      <c r="X137" s="842"/>
      <c r="Y137" s="842"/>
      <c r="Z137" s="842"/>
      <c r="AA137" s="842"/>
      <c r="AB137" s="842"/>
      <c r="AC137" s="842"/>
      <c r="AD137" s="842"/>
      <c r="AE137" s="842"/>
      <c r="AF137" s="842"/>
      <c r="AG137" s="842"/>
      <c r="AH137" s="842"/>
      <c r="AI137" s="842"/>
      <c r="AJ137" s="842"/>
      <c r="AK137" s="842"/>
      <c r="AL137" s="842"/>
      <c r="AM137" s="842"/>
      <c r="AN137" s="842"/>
      <c r="AO137" s="842"/>
      <c r="AP137" s="842"/>
      <c r="AQ137" s="842"/>
      <c r="AR137" s="842"/>
      <c r="AS137" s="842"/>
      <c r="AT137" s="842"/>
      <c r="AU137" s="842"/>
      <c r="AV137" s="842"/>
      <c r="AW137" s="842"/>
      <c r="AX137" s="842"/>
      <c r="AY137" s="842"/>
      <c r="AZ137" s="842"/>
    </row>
    <row r="138" spans="1:52" x14ac:dyDescent="0.2">
      <c r="A138" s="842"/>
      <c r="B138" s="914"/>
      <c r="C138" s="914"/>
      <c r="D138" s="914"/>
      <c r="E138" s="914"/>
      <c r="F138" s="914"/>
      <c r="G138" s="914"/>
      <c r="H138" s="914"/>
      <c r="I138" s="914"/>
      <c r="J138" s="914"/>
      <c r="K138" s="842"/>
      <c r="L138" s="842"/>
      <c r="M138" s="842"/>
      <c r="N138" s="842"/>
      <c r="O138" s="842"/>
      <c r="P138" s="842"/>
      <c r="Q138" s="842"/>
      <c r="R138" s="842"/>
      <c r="S138" s="842"/>
      <c r="T138" s="842"/>
      <c r="U138" s="842"/>
      <c r="V138" s="842"/>
      <c r="W138" s="842"/>
      <c r="X138" s="842"/>
      <c r="Y138" s="842"/>
      <c r="Z138" s="842"/>
      <c r="AA138" s="842"/>
      <c r="AB138" s="842"/>
      <c r="AC138" s="842"/>
      <c r="AD138" s="842"/>
      <c r="AE138" s="842"/>
      <c r="AF138" s="842"/>
      <c r="AG138" s="842"/>
      <c r="AH138" s="842"/>
      <c r="AI138" s="842"/>
      <c r="AJ138" s="842"/>
      <c r="AK138" s="842"/>
      <c r="AL138" s="842"/>
      <c r="AM138" s="842"/>
      <c r="AN138" s="842"/>
      <c r="AO138" s="842"/>
      <c r="AP138" s="842"/>
      <c r="AQ138" s="842"/>
      <c r="AR138" s="842"/>
      <c r="AS138" s="842"/>
      <c r="AT138" s="842"/>
      <c r="AU138" s="842"/>
      <c r="AV138" s="842"/>
      <c r="AW138" s="842"/>
      <c r="AX138" s="842"/>
      <c r="AY138" s="842"/>
      <c r="AZ138" s="842"/>
    </row>
    <row r="139" spans="1:52" x14ac:dyDescent="0.2">
      <c r="A139" s="842"/>
      <c r="B139" s="914"/>
      <c r="C139" s="914"/>
      <c r="D139" s="914"/>
      <c r="E139" s="914"/>
      <c r="F139" s="914"/>
      <c r="G139" s="914"/>
      <c r="H139" s="914"/>
      <c r="I139" s="914"/>
      <c r="J139" s="914"/>
      <c r="K139" s="842"/>
      <c r="L139" s="842"/>
      <c r="M139" s="842"/>
      <c r="N139" s="842"/>
      <c r="O139" s="842"/>
      <c r="P139" s="842"/>
      <c r="Q139" s="842"/>
      <c r="R139" s="842"/>
      <c r="S139" s="842"/>
      <c r="T139" s="842"/>
      <c r="U139" s="842"/>
      <c r="V139" s="842"/>
      <c r="W139" s="842"/>
      <c r="X139" s="842"/>
      <c r="Y139" s="842"/>
      <c r="Z139" s="842"/>
      <c r="AA139" s="842"/>
      <c r="AB139" s="842"/>
      <c r="AC139" s="842"/>
      <c r="AD139" s="842"/>
      <c r="AE139" s="842"/>
      <c r="AF139" s="842"/>
      <c r="AG139" s="842"/>
      <c r="AH139" s="842"/>
      <c r="AI139" s="842"/>
      <c r="AJ139" s="842"/>
      <c r="AK139" s="842"/>
      <c r="AL139" s="842"/>
      <c r="AM139" s="842"/>
      <c r="AN139" s="842"/>
      <c r="AO139" s="842"/>
      <c r="AP139" s="842"/>
      <c r="AQ139" s="842"/>
      <c r="AR139" s="842"/>
      <c r="AS139" s="842"/>
      <c r="AT139" s="842"/>
      <c r="AU139" s="842"/>
      <c r="AV139" s="842"/>
      <c r="AW139" s="842"/>
      <c r="AX139" s="842"/>
      <c r="AY139" s="842"/>
      <c r="AZ139" s="842"/>
    </row>
    <row r="140" spans="1:52" x14ac:dyDescent="0.2">
      <c r="A140" s="842"/>
      <c r="B140" s="914"/>
      <c r="C140" s="914"/>
      <c r="D140" s="914"/>
      <c r="E140" s="914"/>
      <c r="F140" s="914"/>
      <c r="G140" s="914"/>
      <c r="H140" s="914"/>
      <c r="I140" s="914"/>
      <c r="J140" s="914"/>
      <c r="K140" s="842"/>
      <c r="L140" s="842"/>
      <c r="M140" s="842"/>
      <c r="N140" s="842"/>
      <c r="O140" s="842"/>
      <c r="P140" s="842"/>
      <c r="Q140" s="842"/>
      <c r="R140" s="842"/>
      <c r="S140" s="842"/>
      <c r="T140" s="842"/>
      <c r="U140" s="842"/>
      <c r="V140" s="842"/>
      <c r="W140" s="842"/>
      <c r="X140" s="842"/>
      <c r="Y140" s="842"/>
      <c r="Z140" s="842"/>
      <c r="AA140" s="842"/>
      <c r="AB140" s="842"/>
      <c r="AC140" s="842"/>
      <c r="AD140" s="842"/>
      <c r="AE140" s="842"/>
      <c r="AF140" s="842"/>
      <c r="AG140" s="842"/>
      <c r="AH140" s="842"/>
      <c r="AI140" s="842"/>
      <c r="AJ140" s="842"/>
      <c r="AK140" s="842"/>
      <c r="AL140" s="842"/>
      <c r="AM140" s="842"/>
      <c r="AN140" s="842"/>
      <c r="AO140" s="842"/>
      <c r="AP140" s="842"/>
      <c r="AQ140" s="842"/>
      <c r="AR140" s="842"/>
      <c r="AS140" s="842"/>
      <c r="AT140" s="842"/>
      <c r="AU140" s="842"/>
      <c r="AV140" s="842"/>
      <c r="AW140" s="842"/>
      <c r="AX140" s="842"/>
      <c r="AY140" s="842"/>
      <c r="AZ140" s="842"/>
    </row>
    <row r="141" spans="1:52" x14ac:dyDescent="0.2">
      <c r="A141" s="842"/>
      <c r="B141" s="914"/>
      <c r="C141" s="914"/>
      <c r="D141" s="914"/>
      <c r="E141" s="914"/>
      <c r="F141" s="914"/>
      <c r="G141" s="914"/>
      <c r="H141" s="914"/>
      <c r="I141" s="914"/>
      <c r="J141" s="914"/>
      <c r="K141" s="842"/>
      <c r="L141" s="842"/>
      <c r="M141" s="842"/>
      <c r="N141" s="842"/>
      <c r="O141" s="842"/>
      <c r="P141" s="842"/>
      <c r="Q141" s="842"/>
      <c r="R141" s="842"/>
      <c r="S141" s="842"/>
      <c r="T141" s="842"/>
      <c r="U141" s="842"/>
      <c r="V141" s="842"/>
      <c r="W141" s="842"/>
      <c r="X141" s="842"/>
      <c r="Y141" s="842"/>
      <c r="Z141" s="842"/>
      <c r="AA141" s="842"/>
      <c r="AB141" s="842"/>
      <c r="AC141" s="842"/>
      <c r="AD141" s="842"/>
      <c r="AE141" s="842"/>
      <c r="AF141" s="842"/>
      <c r="AG141" s="842"/>
      <c r="AH141" s="842"/>
      <c r="AI141" s="842"/>
      <c r="AJ141" s="842"/>
      <c r="AK141" s="842"/>
      <c r="AL141" s="842"/>
      <c r="AM141" s="842"/>
      <c r="AN141" s="842"/>
      <c r="AO141" s="842"/>
      <c r="AP141" s="842"/>
      <c r="AQ141" s="842"/>
      <c r="AR141" s="842"/>
      <c r="AS141" s="842"/>
      <c r="AT141" s="842"/>
      <c r="AU141" s="842"/>
      <c r="AV141" s="842"/>
      <c r="AW141" s="842"/>
      <c r="AX141" s="842"/>
      <c r="AY141" s="842"/>
      <c r="AZ141" s="842"/>
    </row>
    <row r="142" spans="1:52" x14ac:dyDescent="0.2">
      <c r="A142" s="842"/>
      <c r="B142" s="914"/>
      <c r="C142" s="914"/>
      <c r="D142" s="914"/>
      <c r="E142" s="914"/>
      <c r="F142" s="914"/>
      <c r="G142" s="914"/>
      <c r="H142" s="914"/>
      <c r="I142" s="914"/>
      <c r="J142" s="914"/>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2"/>
      <c r="AL142" s="842"/>
      <c r="AM142" s="842"/>
      <c r="AN142" s="842"/>
      <c r="AO142" s="842"/>
      <c r="AP142" s="842"/>
      <c r="AQ142" s="842"/>
      <c r="AR142" s="842"/>
      <c r="AS142" s="842"/>
      <c r="AT142" s="842"/>
      <c r="AU142" s="842"/>
      <c r="AV142" s="842"/>
      <c r="AW142" s="842"/>
      <c r="AX142" s="842"/>
      <c r="AY142" s="842"/>
      <c r="AZ142" s="842"/>
    </row>
    <row r="143" spans="1:52" x14ac:dyDescent="0.2">
      <c r="A143" s="842"/>
      <c r="B143" s="914"/>
      <c r="C143" s="914"/>
      <c r="D143" s="914"/>
      <c r="E143" s="914"/>
      <c r="F143" s="914"/>
      <c r="G143" s="914"/>
      <c r="H143" s="914"/>
      <c r="I143" s="914"/>
      <c r="J143" s="914"/>
      <c r="K143" s="842"/>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2"/>
      <c r="AN143" s="842"/>
      <c r="AO143" s="842"/>
      <c r="AP143" s="842"/>
      <c r="AQ143" s="842"/>
      <c r="AR143" s="842"/>
      <c r="AS143" s="842"/>
      <c r="AT143" s="842"/>
      <c r="AU143" s="842"/>
      <c r="AV143" s="842"/>
      <c r="AW143" s="842"/>
      <c r="AX143" s="842"/>
      <c r="AY143" s="842"/>
      <c r="AZ143" s="842"/>
    </row>
    <row r="144" spans="1:52" x14ac:dyDescent="0.2">
      <c r="A144" s="842"/>
      <c r="B144" s="914"/>
      <c r="C144" s="914"/>
      <c r="D144" s="914"/>
      <c r="E144" s="914"/>
      <c r="F144" s="914"/>
      <c r="G144" s="914"/>
      <c r="H144" s="914"/>
      <c r="I144" s="914"/>
      <c r="J144" s="914"/>
      <c r="K144" s="842"/>
      <c r="L144" s="842"/>
      <c r="M144" s="842"/>
      <c r="N144" s="842"/>
      <c r="O144" s="842"/>
      <c r="P144" s="842"/>
      <c r="Q144" s="842"/>
      <c r="R144" s="842"/>
      <c r="S144" s="842"/>
      <c r="T144" s="842"/>
      <c r="U144" s="842"/>
      <c r="V144" s="842"/>
      <c r="W144" s="842"/>
      <c r="X144" s="842"/>
      <c r="Y144" s="842"/>
      <c r="Z144" s="842"/>
      <c r="AA144" s="842"/>
      <c r="AB144" s="842"/>
      <c r="AC144" s="842"/>
      <c r="AD144" s="842"/>
      <c r="AE144" s="842"/>
      <c r="AF144" s="842"/>
      <c r="AG144" s="842"/>
      <c r="AH144" s="842"/>
      <c r="AI144" s="842"/>
      <c r="AJ144" s="842"/>
      <c r="AK144" s="842"/>
      <c r="AL144" s="842"/>
      <c r="AM144" s="842"/>
      <c r="AN144" s="842"/>
      <c r="AO144" s="842"/>
      <c r="AP144" s="842"/>
      <c r="AQ144" s="842"/>
      <c r="AR144" s="842"/>
      <c r="AS144" s="842"/>
      <c r="AT144" s="842"/>
      <c r="AU144" s="842"/>
      <c r="AV144" s="842"/>
      <c r="AW144" s="842"/>
      <c r="AX144" s="842"/>
      <c r="AY144" s="842"/>
      <c r="AZ144" s="842"/>
    </row>
    <row r="145" spans="1:52" x14ac:dyDescent="0.2">
      <c r="A145" s="842"/>
      <c r="B145" s="914"/>
      <c r="C145" s="914"/>
      <c r="D145" s="914"/>
      <c r="E145" s="914"/>
      <c r="F145" s="914"/>
      <c r="G145" s="914"/>
      <c r="H145" s="914"/>
      <c r="I145" s="914"/>
      <c r="J145" s="914"/>
      <c r="K145" s="842"/>
      <c r="L145" s="842"/>
      <c r="M145" s="842"/>
      <c r="N145" s="842"/>
      <c r="O145" s="842"/>
      <c r="P145" s="842"/>
      <c r="Q145" s="842"/>
      <c r="R145" s="842"/>
      <c r="S145" s="842"/>
      <c r="T145" s="842"/>
      <c r="U145" s="842"/>
      <c r="V145" s="842"/>
      <c r="W145" s="842"/>
      <c r="X145" s="842"/>
      <c r="Y145" s="842"/>
      <c r="Z145" s="842"/>
      <c r="AA145" s="842"/>
      <c r="AB145" s="842"/>
      <c r="AC145" s="842"/>
      <c r="AD145" s="842"/>
      <c r="AE145" s="842"/>
      <c r="AF145" s="842"/>
      <c r="AG145" s="842"/>
      <c r="AH145" s="842"/>
      <c r="AI145" s="842"/>
      <c r="AJ145" s="842"/>
      <c r="AK145" s="842"/>
      <c r="AL145" s="842"/>
      <c r="AM145" s="842"/>
      <c r="AN145" s="842"/>
      <c r="AO145" s="842"/>
      <c r="AP145" s="842"/>
      <c r="AQ145" s="842"/>
      <c r="AR145" s="842"/>
      <c r="AS145" s="842"/>
      <c r="AT145" s="842"/>
      <c r="AU145" s="842"/>
      <c r="AV145" s="842"/>
      <c r="AW145" s="842"/>
      <c r="AX145" s="842"/>
      <c r="AY145" s="842"/>
      <c r="AZ145" s="842"/>
    </row>
    <row r="146" spans="1:52" x14ac:dyDescent="0.2">
      <c r="A146" s="842"/>
      <c r="B146" s="914"/>
      <c r="C146" s="914"/>
      <c r="D146" s="914"/>
      <c r="E146" s="914"/>
      <c r="F146" s="914"/>
      <c r="G146" s="914"/>
      <c r="H146" s="914"/>
      <c r="I146" s="914"/>
      <c r="J146" s="914"/>
      <c r="K146" s="842"/>
      <c r="L146" s="842"/>
      <c r="M146" s="842"/>
      <c r="N146" s="842"/>
      <c r="O146" s="842"/>
      <c r="P146" s="842"/>
      <c r="Q146" s="842"/>
      <c r="R146" s="842"/>
      <c r="S146" s="842"/>
      <c r="T146" s="842"/>
      <c r="U146" s="842"/>
      <c r="V146" s="842"/>
      <c r="W146" s="842"/>
      <c r="X146" s="842"/>
      <c r="Y146" s="842"/>
      <c r="Z146" s="842"/>
      <c r="AA146" s="842"/>
      <c r="AB146" s="842"/>
      <c r="AC146" s="842"/>
      <c r="AD146" s="842"/>
      <c r="AE146" s="842"/>
      <c r="AF146" s="842"/>
      <c r="AG146" s="842"/>
      <c r="AH146" s="842"/>
      <c r="AI146" s="842"/>
      <c r="AJ146" s="842"/>
      <c r="AK146" s="842"/>
      <c r="AL146" s="842"/>
      <c r="AM146" s="842"/>
      <c r="AN146" s="842"/>
      <c r="AO146" s="842"/>
      <c r="AP146" s="842"/>
      <c r="AQ146" s="842"/>
      <c r="AR146" s="842"/>
      <c r="AS146" s="842"/>
      <c r="AT146" s="842"/>
      <c r="AU146" s="842"/>
      <c r="AV146" s="842"/>
      <c r="AW146" s="842"/>
      <c r="AX146" s="842"/>
      <c r="AY146" s="842"/>
      <c r="AZ146" s="842"/>
    </row>
    <row r="147" spans="1:52" x14ac:dyDescent="0.2">
      <c r="A147" s="842"/>
      <c r="B147" s="914"/>
      <c r="C147" s="914"/>
      <c r="D147" s="914"/>
      <c r="E147" s="914"/>
      <c r="F147" s="914"/>
      <c r="G147" s="914"/>
      <c r="H147" s="914"/>
      <c r="I147" s="914"/>
      <c r="J147" s="914"/>
      <c r="K147" s="842"/>
      <c r="L147" s="842"/>
      <c r="M147" s="842"/>
      <c r="N147" s="842"/>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842"/>
      <c r="AK147" s="842"/>
      <c r="AL147" s="842"/>
      <c r="AM147" s="842"/>
      <c r="AN147" s="842"/>
      <c r="AO147" s="842"/>
      <c r="AP147" s="842"/>
      <c r="AQ147" s="842"/>
      <c r="AR147" s="842"/>
      <c r="AS147" s="842"/>
      <c r="AT147" s="842"/>
      <c r="AU147" s="842"/>
      <c r="AV147" s="842"/>
      <c r="AW147" s="842"/>
      <c r="AX147" s="842"/>
      <c r="AY147" s="842"/>
      <c r="AZ147" s="842"/>
    </row>
    <row r="148" spans="1:52" x14ac:dyDescent="0.2">
      <c r="A148" s="842"/>
      <c r="B148" s="914"/>
      <c r="C148" s="914"/>
      <c r="D148" s="914"/>
      <c r="E148" s="914"/>
      <c r="F148" s="914"/>
      <c r="G148" s="914"/>
      <c r="H148" s="914"/>
      <c r="I148" s="914"/>
      <c r="J148" s="914"/>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2"/>
      <c r="AL148" s="842"/>
      <c r="AM148" s="842"/>
      <c r="AN148" s="842"/>
      <c r="AO148" s="842"/>
      <c r="AP148" s="842"/>
      <c r="AQ148" s="842"/>
      <c r="AR148" s="842"/>
      <c r="AS148" s="842"/>
      <c r="AT148" s="842"/>
      <c r="AU148" s="842"/>
      <c r="AV148" s="842"/>
      <c r="AW148" s="842"/>
      <c r="AX148" s="842"/>
      <c r="AY148" s="842"/>
      <c r="AZ148" s="842"/>
    </row>
    <row r="149" spans="1:52" x14ac:dyDescent="0.2">
      <c r="A149" s="842"/>
      <c r="B149" s="914"/>
      <c r="C149" s="914"/>
      <c r="D149" s="914"/>
      <c r="E149" s="914"/>
      <c r="F149" s="914"/>
      <c r="G149" s="914"/>
      <c r="H149" s="914"/>
      <c r="I149" s="914"/>
      <c r="J149" s="914"/>
      <c r="K149" s="842"/>
      <c r="L149" s="842"/>
      <c r="M149" s="842"/>
      <c r="N149" s="842"/>
      <c r="O149" s="842"/>
      <c r="P149" s="842"/>
      <c r="Q149" s="842"/>
      <c r="R149" s="842"/>
      <c r="S149" s="842"/>
      <c r="T149" s="842"/>
      <c r="U149" s="842"/>
      <c r="V149" s="842"/>
      <c r="W149" s="842"/>
      <c r="X149" s="842"/>
      <c r="Y149" s="842"/>
      <c r="Z149" s="842"/>
      <c r="AA149" s="842"/>
      <c r="AB149" s="842"/>
      <c r="AC149" s="842"/>
      <c r="AD149" s="842"/>
      <c r="AE149" s="842"/>
      <c r="AF149" s="842"/>
      <c r="AG149" s="842"/>
      <c r="AH149" s="842"/>
      <c r="AI149" s="842"/>
      <c r="AJ149" s="842"/>
      <c r="AK149" s="842"/>
      <c r="AL149" s="842"/>
      <c r="AM149" s="842"/>
      <c r="AN149" s="842"/>
      <c r="AO149" s="842"/>
      <c r="AP149" s="842"/>
      <c r="AQ149" s="842"/>
      <c r="AR149" s="842"/>
      <c r="AS149" s="842"/>
      <c r="AT149" s="842"/>
      <c r="AU149" s="842"/>
      <c r="AV149" s="842"/>
      <c r="AW149" s="842"/>
      <c r="AX149" s="842"/>
      <c r="AY149" s="842"/>
      <c r="AZ149" s="842"/>
    </row>
    <row r="150" spans="1:52" x14ac:dyDescent="0.2">
      <c r="A150" s="842"/>
      <c r="B150" s="914"/>
      <c r="C150" s="914"/>
      <c r="D150" s="914"/>
      <c r="E150" s="914"/>
      <c r="F150" s="914"/>
      <c r="G150" s="914"/>
      <c r="H150" s="914"/>
      <c r="I150" s="914"/>
      <c r="J150" s="914"/>
      <c r="K150" s="842"/>
      <c r="L150" s="842"/>
      <c r="M150" s="842"/>
      <c r="N150" s="842"/>
      <c r="O150" s="842"/>
      <c r="P150" s="842"/>
      <c r="Q150" s="842"/>
      <c r="R150" s="842"/>
      <c r="S150" s="842"/>
      <c r="T150" s="842"/>
      <c r="U150" s="842"/>
      <c r="V150" s="842"/>
      <c r="W150" s="842"/>
      <c r="X150" s="842"/>
      <c r="Y150" s="842"/>
      <c r="Z150" s="842"/>
      <c r="AA150" s="842"/>
      <c r="AB150" s="842"/>
      <c r="AC150" s="842"/>
      <c r="AD150" s="842"/>
      <c r="AE150" s="842"/>
      <c r="AF150" s="842"/>
      <c r="AG150" s="842"/>
      <c r="AH150" s="842"/>
      <c r="AI150" s="842"/>
      <c r="AJ150" s="842"/>
      <c r="AK150" s="842"/>
      <c r="AL150" s="842"/>
      <c r="AM150" s="842"/>
      <c r="AN150" s="842"/>
      <c r="AO150" s="842"/>
      <c r="AP150" s="842"/>
      <c r="AQ150" s="842"/>
      <c r="AR150" s="842"/>
      <c r="AS150" s="842"/>
      <c r="AT150" s="842"/>
      <c r="AU150" s="842"/>
      <c r="AV150" s="842"/>
      <c r="AW150" s="842"/>
      <c r="AX150" s="842"/>
      <c r="AY150" s="842"/>
      <c r="AZ150" s="842"/>
    </row>
    <row r="151" spans="1:52" x14ac:dyDescent="0.2">
      <c r="A151" s="17"/>
      <c r="B151" s="80"/>
    </row>
    <row r="152" spans="1:52" x14ac:dyDescent="0.2">
      <c r="A152" s="17"/>
      <c r="B152" s="80"/>
    </row>
    <row r="153" spans="1:52" x14ac:dyDescent="0.2">
      <c r="A153" s="17"/>
      <c r="B153" s="80"/>
    </row>
    <row r="154" spans="1:52" x14ac:dyDescent="0.2">
      <c r="A154" s="17"/>
      <c r="B154" s="80"/>
    </row>
    <row r="155" spans="1:52" x14ac:dyDescent="0.2">
      <c r="A155" s="17"/>
      <c r="B155" s="80"/>
    </row>
    <row r="156" spans="1:52" x14ac:dyDescent="0.2">
      <c r="A156" s="17"/>
      <c r="B156" s="80"/>
    </row>
    <row r="157" spans="1:52" x14ac:dyDescent="0.2">
      <c r="A157" s="17"/>
      <c r="B157" s="80"/>
    </row>
    <row r="158" spans="1:52" x14ac:dyDescent="0.2">
      <c r="A158" s="17"/>
      <c r="B158" s="80"/>
    </row>
    <row r="159" spans="1:52" x14ac:dyDescent="0.2">
      <c r="A159" s="17"/>
      <c r="B159" s="80"/>
    </row>
    <row r="160" spans="1:52" x14ac:dyDescent="0.2">
      <c r="A160" s="17"/>
      <c r="B160" s="80"/>
    </row>
    <row r="161" spans="1:2" x14ac:dyDescent="0.2">
      <c r="A161" s="17"/>
      <c r="B161" s="80"/>
    </row>
    <row r="162" spans="1:2" x14ac:dyDescent="0.2">
      <c r="A162" s="17"/>
      <c r="B162" s="80"/>
    </row>
    <row r="163" spans="1:2" x14ac:dyDescent="0.2">
      <c r="A163" s="17"/>
      <c r="B163" s="80"/>
    </row>
    <row r="164" spans="1:2" x14ac:dyDescent="0.2">
      <c r="A164" s="17"/>
      <c r="B164" s="80"/>
    </row>
    <row r="165" spans="1:2" x14ac:dyDescent="0.2">
      <c r="A165" s="17"/>
      <c r="B165" s="80"/>
    </row>
    <row r="166" spans="1:2" x14ac:dyDescent="0.2">
      <c r="A166" s="17"/>
      <c r="B166" s="80"/>
    </row>
    <row r="167" spans="1:2" x14ac:dyDescent="0.2">
      <c r="A167" s="17"/>
      <c r="B167" s="80"/>
    </row>
    <row r="168" spans="1:2" x14ac:dyDescent="0.2">
      <c r="A168" s="17"/>
      <c r="B168" s="80"/>
    </row>
    <row r="169" spans="1:2" x14ac:dyDescent="0.2">
      <c r="A169" s="17"/>
      <c r="B169" s="80"/>
    </row>
    <row r="170" spans="1:2" x14ac:dyDescent="0.2">
      <c r="A170" s="17"/>
      <c r="B170" s="80"/>
    </row>
    <row r="171" spans="1:2" x14ac:dyDescent="0.2">
      <c r="A171" s="17"/>
      <c r="B171" s="80"/>
    </row>
    <row r="172" spans="1:2" x14ac:dyDescent="0.2">
      <c r="A172" s="17"/>
      <c r="B172" s="80"/>
    </row>
    <row r="173" spans="1:2" x14ac:dyDescent="0.2">
      <c r="A173" s="17"/>
      <c r="B173" s="80"/>
    </row>
    <row r="174" spans="1:2" x14ac:dyDescent="0.2">
      <c r="A174" s="17"/>
      <c r="B174" s="80"/>
    </row>
    <row r="175" spans="1:2" x14ac:dyDescent="0.2">
      <c r="A175" s="17"/>
      <c r="B175" s="80"/>
    </row>
    <row r="176" spans="1:2" x14ac:dyDescent="0.2">
      <c r="A176" s="17"/>
      <c r="B176" s="80"/>
    </row>
    <row r="177" spans="1:2" x14ac:dyDescent="0.2">
      <c r="A177" s="17"/>
      <c r="B177" s="80"/>
    </row>
    <row r="178" spans="1:2" x14ac:dyDescent="0.2">
      <c r="A178" s="17"/>
      <c r="B178" s="80"/>
    </row>
    <row r="179" spans="1:2" x14ac:dyDescent="0.2">
      <c r="A179" s="17"/>
      <c r="B179" s="80"/>
    </row>
    <row r="180" spans="1:2" x14ac:dyDescent="0.2">
      <c r="A180" s="17"/>
      <c r="B180" s="80"/>
    </row>
    <row r="181" spans="1:2" x14ac:dyDescent="0.2">
      <c r="A181" s="17"/>
      <c r="B181" s="80"/>
    </row>
    <row r="182" spans="1:2" x14ac:dyDescent="0.2">
      <c r="A182" s="17"/>
      <c r="B182" s="80"/>
    </row>
    <row r="183" spans="1:2" x14ac:dyDescent="0.2">
      <c r="A183" s="17"/>
      <c r="B183" s="80"/>
    </row>
    <row r="184" spans="1:2" x14ac:dyDescent="0.2">
      <c r="A184" s="17"/>
      <c r="B184" s="80"/>
    </row>
    <row r="185" spans="1:2" x14ac:dyDescent="0.2">
      <c r="A185" s="17"/>
      <c r="B185" s="80"/>
    </row>
    <row r="186" spans="1:2" x14ac:dyDescent="0.2">
      <c r="A186" s="17"/>
      <c r="B186" s="80"/>
    </row>
    <row r="187" spans="1:2" x14ac:dyDescent="0.2">
      <c r="A187" s="17"/>
      <c r="B187" s="80"/>
    </row>
    <row r="188" spans="1:2" x14ac:dyDescent="0.2">
      <c r="A188" s="17"/>
      <c r="B188" s="80"/>
    </row>
    <row r="189" spans="1:2" x14ac:dyDescent="0.2">
      <c r="A189" s="17"/>
      <c r="B189" s="80"/>
    </row>
    <row r="190" spans="1:2" x14ac:dyDescent="0.2">
      <c r="A190" s="17"/>
      <c r="B190" s="80"/>
    </row>
    <row r="191" spans="1:2" x14ac:dyDescent="0.2">
      <c r="A191" s="17"/>
      <c r="B191" s="80"/>
    </row>
    <row r="192" spans="1:2" x14ac:dyDescent="0.2">
      <c r="A192" s="17"/>
      <c r="B192" s="80"/>
    </row>
    <row r="193" spans="1:2" x14ac:dyDescent="0.2">
      <c r="A193" s="17"/>
      <c r="B193" s="80"/>
    </row>
    <row r="194" spans="1:2" x14ac:dyDescent="0.2">
      <c r="A194" s="17"/>
      <c r="B194" s="80"/>
    </row>
    <row r="195" spans="1:2" x14ac:dyDescent="0.2">
      <c r="A195" s="17"/>
      <c r="B195" s="80"/>
    </row>
    <row r="196" spans="1:2" x14ac:dyDescent="0.2">
      <c r="A196" s="17"/>
      <c r="B196" s="80"/>
    </row>
    <row r="197" spans="1:2" x14ac:dyDescent="0.2">
      <c r="A197" s="17"/>
      <c r="B197" s="80"/>
    </row>
    <row r="198" spans="1:2" x14ac:dyDescent="0.2">
      <c r="A198" s="17"/>
      <c r="B198" s="80"/>
    </row>
    <row r="199" spans="1:2" x14ac:dyDescent="0.2">
      <c r="A199" s="17"/>
      <c r="B199" s="80"/>
    </row>
    <row r="200" spans="1:2" x14ac:dyDescent="0.2">
      <c r="A200" s="17"/>
      <c r="B200" s="80"/>
    </row>
    <row r="201" spans="1:2" x14ac:dyDescent="0.2">
      <c r="A201" s="17"/>
      <c r="B201" s="80"/>
    </row>
    <row r="202" spans="1:2" x14ac:dyDescent="0.2">
      <c r="A202" s="17"/>
      <c r="B202" s="80"/>
    </row>
    <row r="203" spans="1:2" x14ac:dyDescent="0.2">
      <c r="A203" s="17"/>
      <c r="B203" s="80"/>
    </row>
    <row r="204" spans="1:2" x14ac:dyDescent="0.2">
      <c r="A204" s="17"/>
      <c r="B204" s="80"/>
    </row>
    <row r="205" spans="1:2" x14ac:dyDescent="0.2">
      <c r="A205" s="17"/>
      <c r="B205" s="80"/>
    </row>
    <row r="206" spans="1:2" x14ac:dyDescent="0.2">
      <c r="A206" s="17"/>
      <c r="B206" s="80"/>
    </row>
    <row r="207" spans="1:2" x14ac:dyDescent="0.2">
      <c r="A207" s="17"/>
      <c r="B207" s="80"/>
    </row>
    <row r="208" spans="1:2" x14ac:dyDescent="0.2">
      <c r="A208" s="17"/>
      <c r="B208" s="80"/>
    </row>
    <row r="209" spans="1:2" x14ac:dyDescent="0.2">
      <c r="A209" s="17"/>
      <c r="B209" s="80"/>
    </row>
    <row r="210" spans="1:2" x14ac:dyDescent="0.2">
      <c r="A210" s="17"/>
      <c r="B210" s="80"/>
    </row>
    <row r="211" spans="1:2" x14ac:dyDescent="0.2">
      <c r="A211" s="17"/>
      <c r="B211" s="80"/>
    </row>
    <row r="212" spans="1:2" x14ac:dyDescent="0.2">
      <c r="A212" s="17"/>
      <c r="B212" s="80"/>
    </row>
    <row r="213" spans="1:2" x14ac:dyDescent="0.2">
      <c r="A213" s="17"/>
      <c r="B213" s="80"/>
    </row>
    <row r="214" spans="1:2" x14ac:dyDescent="0.2">
      <c r="A214" s="17"/>
      <c r="B214" s="80"/>
    </row>
    <row r="215" spans="1:2" x14ac:dyDescent="0.2">
      <c r="A215" s="17"/>
      <c r="B215" s="80"/>
    </row>
    <row r="216" spans="1:2" x14ac:dyDescent="0.2">
      <c r="A216" s="17"/>
      <c r="B216" s="80"/>
    </row>
    <row r="217" spans="1:2" x14ac:dyDescent="0.2">
      <c r="A217" s="17"/>
      <c r="B217" s="80"/>
    </row>
    <row r="218" spans="1:2" x14ac:dyDescent="0.2">
      <c r="A218" s="17"/>
      <c r="B218" s="80"/>
    </row>
    <row r="219" spans="1:2" x14ac:dyDescent="0.2">
      <c r="A219" s="17"/>
      <c r="B219" s="80"/>
    </row>
    <row r="220" spans="1:2" x14ac:dyDescent="0.2">
      <c r="A220" s="17"/>
      <c r="B220" s="80"/>
    </row>
    <row r="221" spans="1:2" x14ac:dyDescent="0.2">
      <c r="A221" s="17"/>
      <c r="B221" s="80"/>
    </row>
    <row r="222" spans="1:2" x14ac:dyDescent="0.2">
      <c r="A222" s="17"/>
      <c r="B222" s="80"/>
    </row>
    <row r="223" spans="1:2" x14ac:dyDescent="0.2">
      <c r="A223" s="17"/>
      <c r="B223" s="80"/>
    </row>
    <row r="224" spans="1:2" x14ac:dyDescent="0.2">
      <c r="A224" s="17"/>
      <c r="B224" s="80"/>
    </row>
    <row r="225" spans="1:2" x14ac:dyDescent="0.2">
      <c r="A225" s="17"/>
      <c r="B225" s="80"/>
    </row>
    <row r="226" spans="1:2" x14ac:dyDescent="0.2">
      <c r="A226" s="17"/>
      <c r="B226" s="80"/>
    </row>
    <row r="227" spans="1:2" x14ac:dyDescent="0.2">
      <c r="A227" s="17"/>
      <c r="B227" s="80"/>
    </row>
    <row r="228" spans="1:2" x14ac:dyDescent="0.2">
      <c r="A228" s="17"/>
      <c r="B228" s="80"/>
    </row>
    <row r="229" spans="1:2" x14ac:dyDescent="0.2">
      <c r="A229" s="17"/>
      <c r="B229" s="80"/>
    </row>
    <row r="230" spans="1:2" x14ac:dyDescent="0.2">
      <c r="A230" s="17"/>
      <c r="B230" s="80"/>
    </row>
    <row r="231" spans="1:2" x14ac:dyDescent="0.2">
      <c r="A231" s="17"/>
      <c r="B231" s="80"/>
    </row>
    <row r="232" spans="1:2" x14ac:dyDescent="0.2">
      <c r="A232" s="17"/>
      <c r="B232" s="80"/>
    </row>
    <row r="233" spans="1:2" x14ac:dyDescent="0.2">
      <c r="A233" s="17"/>
      <c r="B233" s="80"/>
    </row>
    <row r="234" spans="1:2" x14ac:dyDescent="0.2">
      <c r="A234" s="17"/>
      <c r="B234" s="80"/>
    </row>
    <row r="235" spans="1:2" x14ac:dyDescent="0.2">
      <c r="A235" s="17"/>
      <c r="B235" s="80"/>
    </row>
    <row r="236" spans="1:2" x14ac:dyDescent="0.2">
      <c r="A236" s="17"/>
      <c r="B236" s="80"/>
    </row>
    <row r="237" spans="1:2" x14ac:dyDescent="0.2">
      <c r="A237" s="17"/>
      <c r="B237" s="80"/>
    </row>
    <row r="238" spans="1:2" x14ac:dyDescent="0.2">
      <c r="A238" s="17"/>
      <c r="B238" s="80"/>
    </row>
    <row r="239" spans="1:2" x14ac:dyDescent="0.2">
      <c r="A239" s="17"/>
      <c r="B239" s="80"/>
    </row>
    <row r="240" spans="1:2" x14ac:dyDescent="0.2">
      <c r="A240" s="17"/>
      <c r="B240" s="80"/>
    </row>
    <row r="241" spans="1:2" x14ac:dyDescent="0.2">
      <c r="A241" s="17"/>
      <c r="B241" s="80"/>
    </row>
    <row r="242" spans="1:2" x14ac:dyDescent="0.2">
      <c r="A242" s="17"/>
      <c r="B242" s="80"/>
    </row>
    <row r="243" spans="1:2" x14ac:dyDescent="0.2">
      <c r="A243" s="17"/>
      <c r="B243" s="80"/>
    </row>
    <row r="244" spans="1:2" x14ac:dyDescent="0.2">
      <c r="A244" s="17"/>
      <c r="B244" s="80"/>
    </row>
    <row r="245" spans="1:2" x14ac:dyDescent="0.2">
      <c r="A245" s="17"/>
      <c r="B245" s="80"/>
    </row>
    <row r="246" spans="1:2" x14ac:dyDescent="0.2">
      <c r="A246" s="17"/>
      <c r="B246" s="80"/>
    </row>
    <row r="247" spans="1:2" x14ac:dyDescent="0.2">
      <c r="A247" s="17"/>
      <c r="B247" s="80"/>
    </row>
    <row r="248" spans="1:2" x14ac:dyDescent="0.2">
      <c r="A248" s="17"/>
      <c r="B248" s="80"/>
    </row>
    <row r="249" spans="1:2" x14ac:dyDescent="0.2">
      <c r="A249" s="17"/>
      <c r="B249" s="80"/>
    </row>
    <row r="250" spans="1:2" x14ac:dyDescent="0.2">
      <c r="A250" s="17"/>
      <c r="B250" s="80"/>
    </row>
    <row r="251" spans="1:2" x14ac:dyDescent="0.2">
      <c r="A251" s="17"/>
      <c r="B251" s="80"/>
    </row>
    <row r="252" spans="1:2" x14ac:dyDescent="0.2">
      <c r="A252" s="17"/>
      <c r="B252" s="80"/>
    </row>
    <row r="253" spans="1:2" x14ac:dyDescent="0.2">
      <c r="A253" s="17"/>
      <c r="B253" s="80"/>
    </row>
    <row r="254" spans="1:2" x14ac:dyDescent="0.2">
      <c r="A254" s="17"/>
      <c r="B254" s="80"/>
    </row>
    <row r="255" spans="1:2" x14ac:dyDescent="0.2">
      <c r="A255" s="17"/>
      <c r="B255" s="80"/>
    </row>
    <row r="256" spans="1:2" x14ac:dyDescent="0.2">
      <c r="A256" s="17"/>
      <c r="B256" s="80"/>
    </row>
    <row r="257" spans="1:2" x14ac:dyDescent="0.2">
      <c r="A257" s="17"/>
      <c r="B257" s="80"/>
    </row>
    <row r="258" spans="1:2" x14ac:dyDescent="0.2">
      <c r="A258" s="17"/>
      <c r="B258" s="80"/>
    </row>
    <row r="259" spans="1:2" x14ac:dyDescent="0.2">
      <c r="A259" s="17"/>
      <c r="B259" s="80"/>
    </row>
    <row r="260" spans="1:2" x14ac:dyDescent="0.2">
      <c r="A260" s="17"/>
      <c r="B260" s="80"/>
    </row>
    <row r="261" spans="1:2" x14ac:dyDescent="0.2">
      <c r="A261" s="17"/>
      <c r="B261" s="80"/>
    </row>
    <row r="262" spans="1:2" x14ac:dyDescent="0.2">
      <c r="A262" s="17"/>
      <c r="B262" s="80"/>
    </row>
    <row r="263" spans="1:2" x14ac:dyDescent="0.2">
      <c r="A263" s="17"/>
      <c r="B263" s="80"/>
    </row>
    <row r="264" spans="1:2" x14ac:dyDescent="0.2">
      <c r="A264" s="17"/>
      <c r="B264" s="80"/>
    </row>
    <row r="265" spans="1:2" x14ac:dyDescent="0.2">
      <c r="A265" s="17"/>
      <c r="B265" s="80"/>
    </row>
    <row r="266" spans="1:2" x14ac:dyDescent="0.2">
      <c r="A266" s="17"/>
      <c r="B266" s="80"/>
    </row>
    <row r="267" spans="1:2" x14ac:dyDescent="0.2">
      <c r="A267" s="17"/>
      <c r="B267" s="80"/>
    </row>
    <row r="268" spans="1:2" x14ac:dyDescent="0.2">
      <c r="A268" s="17"/>
      <c r="B268" s="80"/>
    </row>
    <row r="269" spans="1:2" x14ac:dyDescent="0.2">
      <c r="A269" s="17"/>
      <c r="B269" s="80"/>
    </row>
    <row r="270" spans="1:2" x14ac:dyDescent="0.2">
      <c r="A270" s="17"/>
      <c r="B270" s="80"/>
    </row>
    <row r="271" spans="1:2" x14ac:dyDescent="0.2">
      <c r="A271" s="17"/>
      <c r="B271" s="80"/>
    </row>
    <row r="272" spans="1:2" x14ac:dyDescent="0.2">
      <c r="A272" s="17"/>
      <c r="B272" s="80"/>
    </row>
    <row r="273" spans="1:2" x14ac:dyDescent="0.2">
      <c r="A273" s="17"/>
      <c r="B273" s="80"/>
    </row>
    <row r="274" spans="1:2" x14ac:dyDescent="0.2">
      <c r="A274" s="17"/>
      <c r="B274" s="80"/>
    </row>
    <row r="275" spans="1:2" x14ac:dyDescent="0.2">
      <c r="A275" s="17"/>
      <c r="B275" s="80"/>
    </row>
    <row r="276" spans="1:2" x14ac:dyDescent="0.2">
      <c r="A276" s="17"/>
      <c r="B276" s="80"/>
    </row>
    <row r="277" spans="1:2" x14ac:dyDescent="0.2">
      <c r="A277" s="17"/>
      <c r="B277" s="80"/>
    </row>
    <row r="278" spans="1:2" x14ac:dyDescent="0.2">
      <c r="A278" s="17"/>
      <c r="B278" s="80"/>
    </row>
    <row r="279" spans="1:2" x14ac:dyDescent="0.2">
      <c r="A279" s="17"/>
      <c r="B279" s="80"/>
    </row>
    <row r="280" spans="1:2" x14ac:dyDescent="0.2">
      <c r="A280" s="17"/>
      <c r="B280" s="80"/>
    </row>
    <row r="281" spans="1:2" x14ac:dyDescent="0.2">
      <c r="A281" s="17"/>
      <c r="B281" s="80"/>
    </row>
    <row r="282" spans="1:2" x14ac:dyDescent="0.2">
      <c r="A282" s="17"/>
      <c r="B282" s="80"/>
    </row>
    <row r="283" spans="1:2" x14ac:dyDescent="0.2">
      <c r="A283" s="17"/>
      <c r="B283" s="80"/>
    </row>
    <row r="284" spans="1:2" x14ac:dyDescent="0.2">
      <c r="A284" s="17"/>
      <c r="B284" s="80"/>
    </row>
    <row r="285" spans="1:2" x14ac:dyDescent="0.2">
      <c r="A285" s="17"/>
      <c r="B285" s="80"/>
    </row>
    <row r="286" spans="1:2" x14ac:dyDescent="0.2">
      <c r="A286" s="17"/>
      <c r="B286" s="80"/>
    </row>
    <row r="287" spans="1:2" x14ac:dyDescent="0.2">
      <c r="A287" s="17"/>
      <c r="B287" s="80"/>
    </row>
    <row r="288" spans="1:2" x14ac:dyDescent="0.2">
      <c r="A288" s="17"/>
      <c r="B288" s="80"/>
    </row>
    <row r="289" spans="1:2" x14ac:dyDescent="0.2">
      <c r="A289" s="17"/>
      <c r="B289" s="80"/>
    </row>
    <row r="290" spans="1:2" x14ac:dyDescent="0.2">
      <c r="A290" s="17"/>
      <c r="B290" s="80"/>
    </row>
  </sheetData>
  <sheetProtection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F37:J37 G5:K5 B5:E5 C37:E37"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AZ345"/>
  <sheetViews>
    <sheetView showZeros="0" zoomScaleNormal="100" workbookViewId="0">
      <pane xSplit="1" ySplit="4" topLeftCell="B5" activePane="bottomRight" state="frozen"/>
      <selection pane="topRight"/>
      <selection pane="bottomLeft"/>
      <selection pane="bottomRight" activeCell="D5" sqref="D5"/>
    </sheetView>
  </sheetViews>
  <sheetFormatPr baseColWidth="10" defaultRowHeight="15" x14ac:dyDescent="0.2"/>
  <cols>
    <col min="1" max="1" width="33.375" customWidth="1"/>
    <col min="2" max="2" width="12.375" customWidth="1"/>
    <col min="3" max="3" width="5.625" customWidth="1"/>
    <col min="4" max="4" width="8.625" style="61" customWidth="1"/>
    <col min="5" max="5" width="6.375" style="62" customWidth="1"/>
    <col min="6" max="6" width="7.75" style="64" customWidth="1"/>
    <col min="7" max="7" width="9.625" style="64" customWidth="1"/>
    <col min="8" max="8" width="6.375" style="62" customWidth="1"/>
    <col min="9" max="9" width="7.75" style="62" customWidth="1"/>
    <col min="10" max="10" width="9.625" style="62" customWidth="1"/>
    <col min="11" max="11" width="7" style="62" customWidth="1"/>
    <col min="12" max="12" width="6.875" style="62" customWidth="1"/>
    <col min="13" max="14" width="6.125" style="63" customWidth="1"/>
    <col min="15" max="16" width="6.125" customWidth="1"/>
    <col min="17" max="17" width="9.625" customWidth="1"/>
    <col min="18" max="18" width="6.375" customWidth="1"/>
    <col min="19" max="19" width="7.75" customWidth="1"/>
    <col min="20" max="20" width="9.625" customWidth="1"/>
    <col min="21" max="21" width="5.625" customWidth="1"/>
  </cols>
  <sheetData>
    <row r="1" spans="1:52" ht="18" customHeight="1" x14ac:dyDescent="0.2">
      <c r="A1" s="301" t="str">
        <f>Stammblatt!A1</f>
        <v>Projekttitel</v>
      </c>
      <c r="B1" s="281"/>
      <c r="C1" s="666"/>
      <c r="D1" s="677"/>
      <c r="E1" s="678"/>
      <c r="F1" s="679"/>
      <c r="G1" s="679"/>
      <c r="H1" s="678"/>
      <c r="I1" s="678"/>
      <c r="J1" s="678"/>
      <c r="K1" s="678"/>
      <c r="L1" s="678"/>
      <c r="M1" s="680"/>
      <c r="N1" s="680"/>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row>
    <row r="2" spans="1:52" ht="12.75" x14ac:dyDescent="0.2">
      <c r="A2" s="286"/>
      <c r="B2" s="1191" t="str">
        <f>IF(Stammblatt!$L$4=1,"BRUTTO-GEHALT inkl. SZ &amp; UEL","salary (gross) incl. SZ/UEL")</f>
        <v>BRUTTO-GEHALT inkl. SZ &amp; UEL</v>
      </c>
      <c r="C2" s="666"/>
      <c r="D2" s="681"/>
      <c r="E2" s="1210" t="str">
        <f>IF(Stammblatt!$L$4=1,"FLUGTICKETS","FLIGHTS")</f>
        <v>FLUGTICKETS</v>
      </c>
      <c r="F2" s="1211"/>
      <c r="G2" s="1212"/>
      <c r="H2" s="1210" t="str">
        <f>IF(Stammblatt!$L$4=1,"BAHNFAHRTEN","TRAIN")</f>
        <v>BAHNFAHRTEN</v>
      </c>
      <c r="I2" s="1211"/>
      <c r="J2" s="1212"/>
      <c r="K2" s="1213" t="str">
        <f>IF(Stammblatt!$L$4=1,"D     I     Ä     T     E     N    (  T  a  g  e  )","P E R    D I E M  ( N r.   o f   d a y s )")</f>
        <v>D     I     Ä     T     E     N    (  T  a  g  e  )</v>
      </c>
      <c r="L2" s="1214"/>
      <c r="M2" s="1214"/>
      <c r="N2" s="1214"/>
      <c r="O2" s="1214"/>
      <c r="P2" s="1215"/>
      <c r="Q2" s="792" t="s">
        <v>201</v>
      </c>
      <c r="R2" s="1210" t="str">
        <f>IF(Stammblatt!$L$4=1,"NÄCHTIGUNGEN","HOTELS / LODGING")</f>
        <v>NÄCHTIGUNGEN</v>
      </c>
      <c r="S2" s="1211"/>
      <c r="T2" s="1212"/>
      <c r="U2" s="683"/>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row>
    <row r="3" spans="1:52" ht="12.75" x14ac:dyDescent="0.2">
      <c r="A3" s="664"/>
      <c r="B3" s="1192"/>
      <c r="C3" s="666"/>
      <c r="D3" s="684" t="s">
        <v>109</v>
      </c>
      <c r="E3" s="793" t="str">
        <f>IF(Stammblatt!$L$4=1,"Anzahl","quant.")</f>
        <v>Anzahl</v>
      </c>
      <c r="F3" s="794" t="str">
        <f>IF(Stammblatt!$L$4=1,"Preis","price")</f>
        <v>Preis</v>
      </c>
      <c r="G3" s="794" t="s">
        <v>512</v>
      </c>
      <c r="H3" s="793" t="str">
        <f>IF(Stammblatt!$L$4=1,"Anzahl","quant.")</f>
        <v>Anzahl</v>
      </c>
      <c r="I3" s="794" t="str">
        <f>IF(Stammblatt!$L$4=1,"Preis","price")</f>
        <v>Preis</v>
      </c>
      <c r="J3" s="794" t="s">
        <v>512</v>
      </c>
      <c r="K3" s="794" t="s">
        <v>563</v>
      </c>
      <c r="L3" s="795" t="s">
        <v>562</v>
      </c>
      <c r="M3" s="1210" t="s">
        <v>195</v>
      </c>
      <c r="N3" s="1211"/>
      <c r="O3" s="1211"/>
      <c r="P3" s="1212"/>
      <c r="Q3" s="793" t="str">
        <f>IF(Stammblatt!$L$4=1,"Tage","days")</f>
        <v>Tage</v>
      </c>
      <c r="R3" s="793" t="str">
        <f>IF(Stammblatt!$L$4=1,"Anzahl","quant.")</f>
        <v>Anzahl</v>
      </c>
      <c r="S3" s="794" t="str">
        <f>IF(Stammblatt!$L$4=1,"Preis","price")</f>
        <v>Preis</v>
      </c>
      <c r="T3" s="794" t="s">
        <v>512</v>
      </c>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row>
    <row r="4" spans="1:52" ht="24" customHeight="1" x14ac:dyDescent="0.2">
      <c r="A4" s="904" t="str">
        <f>IF(Stammblatt!$L$4=1,"S T A B  -  F U N K T I O N","S T A F F  -  F U N C T I O N")</f>
        <v>S T A B  -  F U N K T I O N</v>
      </c>
      <c r="B4" s="1193"/>
      <c r="C4" s="666"/>
      <c r="D4" s="684"/>
      <c r="E4" s="685"/>
      <c r="F4" s="686"/>
      <c r="G4" s="686"/>
      <c r="H4" s="685"/>
      <c r="I4" s="686"/>
      <c r="J4" s="686"/>
      <c r="K4" s="685" t="s">
        <v>564</v>
      </c>
      <c r="L4" s="685" t="s">
        <v>561</v>
      </c>
      <c r="M4" s="685" t="s">
        <v>266</v>
      </c>
      <c r="N4" s="685" t="s">
        <v>267</v>
      </c>
      <c r="O4" s="685" t="s">
        <v>565</v>
      </c>
      <c r="P4" s="685" t="s">
        <v>566</v>
      </c>
      <c r="Q4" s="664"/>
      <c r="R4" s="664"/>
      <c r="S4" s="664"/>
      <c r="T4" s="68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row>
    <row r="5" spans="1:52" ht="12.75" customHeight="1" x14ac:dyDescent="0.2">
      <c r="A5" s="706" t="str">
        <f>'Kalkulation Herstellungskosten'!B29</f>
        <v>Herstellungsleitung</v>
      </c>
      <c r="B5" s="674">
        <f>'Kalkulation Herstellungskosten'!G29</f>
        <v>0</v>
      </c>
      <c r="C5" s="666"/>
      <c r="D5" s="85"/>
      <c r="E5" s="85"/>
      <c r="F5" s="85"/>
      <c r="G5" s="690">
        <f>E5*F5</f>
        <v>0</v>
      </c>
      <c r="H5" s="85"/>
      <c r="I5" s="85"/>
      <c r="J5" s="690">
        <f>H5*I5</f>
        <v>0</v>
      </c>
      <c r="K5" s="85"/>
      <c r="L5" s="85"/>
      <c r="M5" s="85"/>
      <c r="N5" s="85"/>
      <c r="O5" s="85"/>
      <c r="P5" s="85"/>
      <c r="Q5" s="85"/>
      <c r="R5" s="85"/>
      <c r="S5" s="85"/>
      <c r="T5" s="687">
        <f>R5*S5</f>
        <v>0</v>
      </c>
      <c r="U5" s="688"/>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row>
    <row r="6" spans="1:52" ht="12.75" customHeight="1" x14ac:dyDescent="0.2">
      <c r="A6" s="706" t="str">
        <f>'Kalkulation Herstellungskosten'!B31</f>
        <v>Produktionsleitung</v>
      </c>
      <c r="B6" s="674">
        <f>'Kalkulation Herstellungskosten'!G31</f>
        <v>0</v>
      </c>
      <c r="C6" s="666"/>
      <c r="D6" s="86"/>
      <c r="E6" s="86"/>
      <c r="F6" s="86"/>
      <c r="G6" s="687">
        <f t="shared" ref="G6:G56" si="0">E6*F6</f>
        <v>0</v>
      </c>
      <c r="H6" s="86"/>
      <c r="I6" s="86"/>
      <c r="J6" s="687">
        <f t="shared" ref="J6:J56" si="1">H6*I6</f>
        <v>0</v>
      </c>
      <c r="K6" s="86"/>
      <c r="L6" s="86"/>
      <c r="M6" s="86"/>
      <c r="N6" s="86"/>
      <c r="O6" s="86"/>
      <c r="P6" s="86"/>
      <c r="Q6" s="86"/>
      <c r="R6" s="86"/>
      <c r="S6" s="86"/>
      <c r="T6" s="687">
        <f t="shared" ref="T6:T56" si="2">R6*S6</f>
        <v>0</v>
      </c>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row>
    <row r="7" spans="1:52" ht="12.75" customHeight="1" x14ac:dyDescent="0.2">
      <c r="A7" s="706" t="str">
        <f>'Kalkulation Herstellungskosten'!B33</f>
        <v>Aufnahmeleitung (1. AL)</v>
      </c>
      <c r="B7" s="674">
        <f>'Kalkulation Herstellungskosten'!G33</f>
        <v>0</v>
      </c>
      <c r="C7" s="666"/>
      <c r="D7" s="86"/>
      <c r="E7" s="86"/>
      <c r="F7" s="86"/>
      <c r="G7" s="687">
        <f t="shared" si="0"/>
        <v>0</v>
      </c>
      <c r="H7" s="86"/>
      <c r="I7" s="86"/>
      <c r="J7" s="687">
        <f t="shared" si="1"/>
        <v>0</v>
      </c>
      <c r="K7" s="86"/>
      <c r="L7" s="86"/>
      <c r="M7" s="86"/>
      <c r="N7" s="86"/>
      <c r="O7" s="86"/>
      <c r="P7" s="86"/>
      <c r="Q7" s="86"/>
      <c r="R7" s="86"/>
      <c r="S7" s="86"/>
      <c r="T7" s="687">
        <f t="shared" si="2"/>
        <v>0</v>
      </c>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row>
    <row r="8" spans="1:52" ht="12.75" customHeight="1" x14ac:dyDescent="0.2">
      <c r="A8" s="706" t="str">
        <f>'Kalkulation Herstellungskosten'!B35</f>
        <v>Set-Aufnahmeleitung (2. AL)</v>
      </c>
      <c r="B8" s="674">
        <f>'Kalkulation Herstellungskosten'!G35</f>
        <v>0</v>
      </c>
      <c r="C8" s="666"/>
      <c r="D8" s="86"/>
      <c r="E8" s="86"/>
      <c r="F8" s="86"/>
      <c r="G8" s="687">
        <f t="shared" si="0"/>
        <v>0</v>
      </c>
      <c r="H8" s="86"/>
      <c r="I8" s="86"/>
      <c r="J8" s="687">
        <f t="shared" si="1"/>
        <v>0</v>
      </c>
      <c r="K8" s="86"/>
      <c r="L8" s="86"/>
      <c r="M8" s="86"/>
      <c r="N8" s="86"/>
      <c r="O8" s="86"/>
      <c r="P8" s="86"/>
      <c r="Q8" s="86"/>
      <c r="R8" s="86"/>
      <c r="S8" s="86"/>
      <c r="T8" s="687">
        <f t="shared" si="2"/>
        <v>0</v>
      </c>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row>
    <row r="9" spans="1:52" ht="12.75" customHeight="1" x14ac:dyDescent="0.2">
      <c r="A9" s="706" t="str">
        <f>'Kalkulation Herstellungskosten'!B37</f>
        <v>Produktionskoordination</v>
      </c>
      <c r="B9" s="674">
        <f>'Kalkulation Herstellungskosten'!G37</f>
        <v>0</v>
      </c>
      <c r="C9" s="666"/>
      <c r="D9" s="86"/>
      <c r="E9" s="86"/>
      <c r="F9" s="86"/>
      <c r="G9" s="687"/>
      <c r="H9" s="86"/>
      <c r="I9" s="86"/>
      <c r="J9" s="687"/>
      <c r="K9" s="86"/>
      <c r="L9" s="86"/>
      <c r="M9" s="86"/>
      <c r="N9" s="86"/>
      <c r="O9" s="86"/>
      <c r="P9" s="86"/>
      <c r="Q9" s="86"/>
      <c r="R9" s="86"/>
      <c r="S9" s="86"/>
      <c r="T9" s="687">
        <f t="shared" si="2"/>
        <v>0</v>
      </c>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row>
    <row r="10" spans="1:52" ht="12.75" customHeight="1" x14ac:dyDescent="0.2">
      <c r="A10" s="706" t="str">
        <f>'Kalkulation Herstellungskosten'!B39</f>
        <v>Postproduktionskoordination</v>
      </c>
      <c r="B10" s="674">
        <f>'Kalkulation Herstellungskosten'!G39</f>
        <v>0</v>
      </c>
      <c r="C10" s="666"/>
      <c r="D10" s="86"/>
      <c r="E10" s="86"/>
      <c r="F10" s="86"/>
      <c r="G10" s="687">
        <f t="shared" si="0"/>
        <v>0</v>
      </c>
      <c r="H10" s="86"/>
      <c r="I10" s="86"/>
      <c r="J10" s="687">
        <f t="shared" si="1"/>
        <v>0</v>
      </c>
      <c r="K10" s="86"/>
      <c r="L10" s="86"/>
      <c r="M10" s="86"/>
      <c r="N10" s="86"/>
      <c r="O10" s="86"/>
      <c r="P10" s="86"/>
      <c r="Q10" s="86"/>
      <c r="R10" s="86"/>
      <c r="S10" s="86"/>
      <c r="T10" s="687">
        <f t="shared" si="2"/>
        <v>0</v>
      </c>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row>
    <row r="11" spans="1:52" ht="12.75" customHeight="1" x14ac:dyDescent="0.2">
      <c r="A11" s="706" t="str">
        <f>'Kalkulation Herstellungskosten'!B41</f>
        <v>Produktionsassistenz</v>
      </c>
      <c r="B11" s="674">
        <f>'Kalkulation Herstellungskosten'!G41</f>
        <v>0</v>
      </c>
      <c r="C11" s="666"/>
      <c r="D11" s="86"/>
      <c r="E11" s="86"/>
      <c r="F11" s="86"/>
      <c r="G11" s="687">
        <f t="shared" si="0"/>
        <v>0</v>
      </c>
      <c r="H11" s="86"/>
      <c r="I11" s="86"/>
      <c r="J11" s="687">
        <f t="shared" si="1"/>
        <v>0</v>
      </c>
      <c r="K11" s="86"/>
      <c r="L11" s="86"/>
      <c r="M11" s="86"/>
      <c r="N11" s="86"/>
      <c r="O11" s="86"/>
      <c r="P11" s="86"/>
      <c r="Q11" s="86"/>
      <c r="R11" s="86"/>
      <c r="S11" s="86"/>
      <c r="T11" s="687">
        <f t="shared" si="2"/>
        <v>0</v>
      </c>
      <c r="U11" s="689"/>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6"/>
      <c r="AZ11" s="666"/>
    </row>
    <row r="12" spans="1:52" ht="12.75" customHeight="1" x14ac:dyDescent="0.2">
      <c r="A12" s="706" t="str">
        <f>'Kalkulation Herstellungskosten'!B43</f>
        <v>Filmgeschäftsführung</v>
      </c>
      <c r="B12" s="674">
        <f>'Kalkulation Herstellungskosten'!G43</f>
        <v>0</v>
      </c>
      <c r="C12" s="666"/>
      <c r="D12" s="86"/>
      <c r="E12" s="86"/>
      <c r="F12" s="86"/>
      <c r="G12" s="687">
        <f t="shared" si="0"/>
        <v>0</v>
      </c>
      <c r="H12" s="86"/>
      <c r="I12" s="86"/>
      <c r="J12" s="687">
        <f t="shared" si="1"/>
        <v>0</v>
      </c>
      <c r="K12" s="86"/>
      <c r="L12" s="86"/>
      <c r="M12" s="86"/>
      <c r="N12" s="86"/>
      <c r="O12" s="86"/>
      <c r="P12" s="86"/>
      <c r="Q12" s="86"/>
      <c r="R12" s="86"/>
      <c r="S12" s="86"/>
      <c r="T12" s="687">
        <f t="shared" si="2"/>
        <v>0</v>
      </c>
      <c r="U12" s="689"/>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row>
    <row r="13" spans="1:52" ht="12.75" customHeight="1" x14ac:dyDescent="0.2">
      <c r="A13" s="706" t="str">
        <f>'Kalkulation Herstellungskosten'!B45</f>
        <v>Regie</v>
      </c>
      <c r="B13" s="674">
        <f>'Kalkulation Herstellungskosten'!G45</f>
        <v>0</v>
      </c>
      <c r="C13" s="666"/>
      <c r="D13" s="86"/>
      <c r="E13" s="86"/>
      <c r="F13" s="86"/>
      <c r="G13" s="687">
        <f t="shared" si="0"/>
        <v>0</v>
      </c>
      <c r="H13" s="86"/>
      <c r="I13" s="86"/>
      <c r="J13" s="687">
        <f t="shared" si="1"/>
        <v>0</v>
      </c>
      <c r="K13" s="86"/>
      <c r="L13" s="86"/>
      <c r="M13" s="86"/>
      <c r="N13" s="86"/>
      <c r="O13" s="86"/>
      <c r="P13" s="86"/>
      <c r="Q13" s="86"/>
      <c r="R13" s="86"/>
      <c r="S13" s="86"/>
      <c r="T13" s="687">
        <f t="shared" si="2"/>
        <v>0</v>
      </c>
      <c r="U13" s="689"/>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row>
    <row r="14" spans="1:52" ht="12.75" customHeight="1" x14ac:dyDescent="0.2">
      <c r="A14" s="706" t="str">
        <f>'Kalkulation Herstellungskosten'!B46</f>
        <v>Regieassistenz</v>
      </c>
      <c r="B14" s="674">
        <f>'Kalkulation Herstellungskosten'!G46</f>
        <v>0</v>
      </c>
      <c r="C14" s="666"/>
      <c r="D14" s="86"/>
      <c r="E14" s="86"/>
      <c r="F14" s="86"/>
      <c r="G14" s="687">
        <f t="shared" si="0"/>
        <v>0</v>
      </c>
      <c r="H14" s="86"/>
      <c r="I14" s="86"/>
      <c r="J14" s="687">
        <f t="shared" si="1"/>
        <v>0</v>
      </c>
      <c r="K14" s="86"/>
      <c r="L14" s="86"/>
      <c r="M14" s="86"/>
      <c r="N14" s="86"/>
      <c r="O14" s="86"/>
      <c r="P14" s="86"/>
      <c r="Q14" s="86"/>
      <c r="R14" s="86"/>
      <c r="S14" s="86"/>
      <c r="T14" s="687">
        <f t="shared" si="2"/>
        <v>0</v>
      </c>
      <c r="U14" s="689"/>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row>
    <row r="15" spans="1:52" ht="12.75" customHeight="1" x14ac:dyDescent="0.2">
      <c r="A15" s="706" t="str">
        <f>'Kalkulation Herstellungskosten'!B48</f>
        <v>Continuity/Skript</v>
      </c>
      <c r="B15" s="674">
        <f>'Kalkulation Herstellungskosten'!G48</f>
        <v>0</v>
      </c>
      <c r="C15" s="666"/>
      <c r="D15" s="86"/>
      <c r="E15" s="86"/>
      <c r="F15" s="86"/>
      <c r="G15" s="687">
        <f t="shared" si="0"/>
        <v>0</v>
      </c>
      <c r="H15" s="86"/>
      <c r="I15" s="86"/>
      <c r="J15" s="687">
        <f t="shared" si="1"/>
        <v>0</v>
      </c>
      <c r="K15" s="86"/>
      <c r="L15" s="86"/>
      <c r="M15" s="86"/>
      <c r="N15" s="86"/>
      <c r="O15" s="86"/>
      <c r="P15" s="86"/>
      <c r="Q15" s="86"/>
      <c r="R15" s="86"/>
      <c r="S15" s="86"/>
      <c r="T15" s="687">
        <f t="shared" si="2"/>
        <v>0</v>
      </c>
      <c r="U15" s="689"/>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row>
    <row r="16" spans="1:52" ht="12.75" customHeight="1" x14ac:dyDescent="0.2">
      <c r="A16" s="706" t="str">
        <f>'Kalkulation Herstellungskosten'!B50</f>
        <v>Kamera</v>
      </c>
      <c r="B16" s="674">
        <f>'Kalkulation Herstellungskosten'!G50</f>
        <v>0</v>
      </c>
      <c r="C16" s="666"/>
      <c r="D16" s="86"/>
      <c r="E16" s="86"/>
      <c r="F16" s="86"/>
      <c r="G16" s="687">
        <f t="shared" si="0"/>
        <v>0</v>
      </c>
      <c r="H16" s="86"/>
      <c r="I16" s="86"/>
      <c r="J16" s="687">
        <f t="shared" si="1"/>
        <v>0</v>
      </c>
      <c r="K16" s="86"/>
      <c r="L16" s="86"/>
      <c r="M16" s="86"/>
      <c r="N16" s="86"/>
      <c r="O16" s="86"/>
      <c r="P16" s="86"/>
      <c r="Q16" s="86"/>
      <c r="R16" s="86"/>
      <c r="S16" s="86"/>
      <c r="T16" s="687">
        <f t="shared" si="2"/>
        <v>0</v>
      </c>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AX16" s="666"/>
      <c r="AY16" s="666"/>
      <c r="AZ16" s="666"/>
    </row>
    <row r="17" spans="1:52" ht="12.75" customHeight="1" x14ac:dyDescent="0.2">
      <c r="A17" s="706" t="str">
        <f>'Kalkulation Herstellungskosten'!B52</f>
        <v>1. Kameraassistenz</v>
      </c>
      <c r="B17" s="674">
        <f>'Kalkulation Herstellungskosten'!G52</f>
        <v>0</v>
      </c>
      <c r="C17" s="666"/>
      <c r="D17" s="86"/>
      <c r="E17" s="86"/>
      <c r="F17" s="86"/>
      <c r="G17" s="687">
        <f t="shared" si="0"/>
        <v>0</v>
      </c>
      <c r="H17" s="86"/>
      <c r="I17" s="86"/>
      <c r="J17" s="687">
        <f t="shared" si="1"/>
        <v>0</v>
      </c>
      <c r="K17" s="86"/>
      <c r="L17" s="86"/>
      <c r="M17" s="86"/>
      <c r="N17" s="86"/>
      <c r="O17" s="86"/>
      <c r="P17" s="86"/>
      <c r="Q17" s="86"/>
      <c r="R17" s="86"/>
      <c r="S17" s="86"/>
      <c r="T17" s="687">
        <f t="shared" si="2"/>
        <v>0</v>
      </c>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6"/>
      <c r="AZ17" s="666"/>
    </row>
    <row r="18" spans="1:52" ht="12.75" customHeight="1" x14ac:dyDescent="0.2">
      <c r="A18" s="706" t="str">
        <f>'Kalkulation Herstellungskosten'!B54</f>
        <v>2. Kameraassistenz</v>
      </c>
      <c r="B18" s="674">
        <f>'Kalkulation Herstellungskosten'!G54</f>
        <v>0</v>
      </c>
      <c r="C18" s="666"/>
      <c r="D18" s="86"/>
      <c r="E18" s="86"/>
      <c r="F18" s="86"/>
      <c r="G18" s="687">
        <f t="shared" si="0"/>
        <v>0</v>
      </c>
      <c r="H18" s="86"/>
      <c r="I18" s="86"/>
      <c r="J18" s="687">
        <f t="shared" si="1"/>
        <v>0</v>
      </c>
      <c r="K18" s="86"/>
      <c r="L18" s="86"/>
      <c r="M18" s="86"/>
      <c r="N18" s="86"/>
      <c r="O18" s="86"/>
      <c r="P18" s="86"/>
      <c r="Q18" s="86"/>
      <c r="R18" s="86"/>
      <c r="S18" s="86"/>
      <c r="T18" s="687">
        <f t="shared" si="2"/>
        <v>0</v>
      </c>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row>
    <row r="19" spans="1:52" ht="12.75" customHeight="1" x14ac:dyDescent="0.2">
      <c r="A19" s="706" t="str">
        <f>'Kalkulation Herstellungskosten'!B56</f>
        <v>Kamera im Verbund, Schwenker*in</v>
      </c>
      <c r="B19" s="674">
        <f>'Kalkulation Herstellungskosten'!G56</f>
        <v>0</v>
      </c>
      <c r="C19" s="666"/>
      <c r="D19" s="86"/>
      <c r="E19" s="86"/>
      <c r="F19" s="86"/>
      <c r="G19" s="687">
        <f t="shared" si="0"/>
        <v>0</v>
      </c>
      <c r="H19" s="86"/>
      <c r="I19" s="86"/>
      <c r="J19" s="687">
        <f t="shared" si="1"/>
        <v>0</v>
      </c>
      <c r="K19" s="86"/>
      <c r="L19" s="86"/>
      <c r="M19" s="86"/>
      <c r="N19" s="86"/>
      <c r="O19" s="86"/>
      <c r="P19" s="86"/>
      <c r="Q19" s="86"/>
      <c r="R19" s="86"/>
      <c r="S19" s="86"/>
      <c r="T19" s="687">
        <f t="shared" si="2"/>
        <v>0</v>
      </c>
      <c r="U19" s="666"/>
      <c r="V19" s="666"/>
      <c r="W19" s="666"/>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666"/>
      <c r="AZ19" s="666"/>
    </row>
    <row r="20" spans="1:52" ht="12.75" customHeight="1" x14ac:dyDescent="0.2">
      <c r="A20" s="706" t="str">
        <f>'Kalkulation Herstellungskosten'!B58</f>
        <v>Videotechnik</v>
      </c>
      <c r="B20" s="674">
        <f>'Kalkulation Herstellungskosten'!G58</f>
        <v>0</v>
      </c>
      <c r="C20" s="666"/>
      <c r="D20" s="86"/>
      <c r="E20" s="86"/>
      <c r="F20" s="86"/>
      <c r="G20" s="687">
        <f t="shared" si="0"/>
        <v>0</v>
      </c>
      <c r="H20" s="86"/>
      <c r="I20" s="86"/>
      <c r="J20" s="687">
        <f t="shared" si="1"/>
        <v>0</v>
      </c>
      <c r="K20" s="86"/>
      <c r="L20" s="86"/>
      <c r="M20" s="86"/>
      <c r="N20" s="86"/>
      <c r="O20" s="86"/>
      <c r="P20" s="86"/>
      <c r="Q20" s="86"/>
      <c r="R20" s="86"/>
      <c r="S20" s="86"/>
      <c r="T20" s="687">
        <f t="shared" si="2"/>
        <v>0</v>
      </c>
      <c r="U20" s="666"/>
      <c r="V20" s="666"/>
      <c r="W20" s="666"/>
      <c r="X20" s="666"/>
      <c r="Y20" s="666"/>
      <c r="Z20" s="666"/>
      <c r="AA20" s="666"/>
      <c r="AB20" s="666"/>
      <c r="AC20" s="666"/>
      <c r="AD20" s="666"/>
      <c r="AE20" s="666"/>
      <c r="AF20" s="666"/>
      <c r="AG20" s="666"/>
      <c r="AH20" s="666"/>
      <c r="AI20" s="666"/>
      <c r="AJ20" s="666"/>
      <c r="AK20" s="666"/>
      <c r="AL20" s="666"/>
      <c r="AM20" s="666"/>
      <c r="AN20" s="666"/>
      <c r="AO20" s="666"/>
      <c r="AP20" s="666"/>
      <c r="AQ20" s="666"/>
      <c r="AR20" s="666"/>
      <c r="AS20" s="666"/>
      <c r="AT20" s="666"/>
      <c r="AU20" s="666"/>
      <c r="AV20" s="666"/>
      <c r="AW20" s="666"/>
      <c r="AX20" s="666"/>
      <c r="AY20" s="666"/>
      <c r="AZ20" s="666"/>
    </row>
    <row r="21" spans="1:52" ht="12.75" customHeight="1" x14ac:dyDescent="0.2">
      <c r="A21" s="706" t="str">
        <f>'Kalkulation Herstellungskosten'!B60</f>
        <v>Digital Image Technician (DIT)</v>
      </c>
      <c r="B21" s="674">
        <f>'Kalkulation Herstellungskosten'!G60</f>
        <v>0</v>
      </c>
      <c r="C21" s="666"/>
      <c r="D21" s="86"/>
      <c r="E21" s="86"/>
      <c r="F21" s="86"/>
      <c r="G21" s="687">
        <f t="shared" si="0"/>
        <v>0</v>
      </c>
      <c r="H21" s="86"/>
      <c r="I21" s="86"/>
      <c r="J21" s="687"/>
      <c r="K21" s="86"/>
      <c r="L21" s="86"/>
      <c r="M21" s="86"/>
      <c r="N21" s="86"/>
      <c r="O21" s="86"/>
      <c r="P21" s="86"/>
      <c r="Q21" s="86"/>
      <c r="R21" s="86"/>
      <c r="S21" s="86"/>
      <c r="T21" s="687">
        <f t="shared" si="2"/>
        <v>0</v>
      </c>
      <c r="U21" s="666"/>
      <c r="V21" s="666"/>
      <c r="W21" s="666"/>
      <c r="X21" s="666"/>
      <c r="Y21" s="666"/>
      <c r="Z21" s="666"/>
      <c r="AA21" s="666"/>
      <c r="AB21" s="666"/>
      <c r="AC21" s="666"/>
      <c r="AD21" s="666"/>
      <c r="AE21" s="666"/>
      <c r="AF21" s="666"/>
      <c r="AG21" s="666"/>
      <c r="AH21" s="666"/>
      <c r="AI21" s="666"/>
      <c r="AJ21" s="666"/>
      <c r="AK21" s="666"/>
      <c r="AL21" s="666"/>
      <c r="AM21" s="666"/>
      <c r="AN21" s="666"/>
      <c r="AO21" s="666"/>
      <c r="AP21" s="666"/>
      <c r="AQ21" s="666"/>
      <c r="AR21" s="666"/>
      <c r="AS21" s="666"/>
      <c r="AT21" s="666"/>
      <c r="AU21" s="666"/>
      <c r="AV21" s="666"/>
      <c r="AW21" s="666"/>
      <c r="AX21" s="666"/>
      <c r="AY21" s="666"/>
      <c r="AZ21" s="666"/>
    </row>
    <row r="22" spans="1:52" ht="12.75" customHeight="1" x14ac:dyDescent="0.2">
      <c r="A22" s="706" t="str">
        <f>'Kalkulation Herstellungskosten'!B62</f>
        <v>Data Wrangler</v>
      </c>
      <c r="B22" s="674">
        <f>'Kalkulation Herstellungskosten'!G62</f>
        <v>0</v>
      </c>
      <c r="C22" s="666"/>
      <c r="D22" s="86"/>
      <c r="E22" s="86"/>
      <c r="F22" s="86"/>
      <c r="G22" s="687"/>
      <c r="H22" s="86"/>
      <c r="I22" s="86"/>
      <c r="J22" s="687"/>
      <c r="K22" s="86"/>
      <c r="L22" s="86"/>
      <c r="M22" s="86"/>
      <c r="N22" s="86"/>
      <c r="O22" s="86"/>
      <c r="P22" s="86"/>
      <c r="Q22" s="86"/>
      <c r="R22" s="86"/>
      <c r="S22" s="86"/>
      <c r="T22" s="687">
        <f t="shared" si="2"/>
        <v>0</v>
      </c>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row>
    <row r="23" spans="1:52" ht="12.75" customHeight="1" x14ac:dyDescent="0.2">
      <c r="A23" s="706" t="str">
        <f>'Kalkulation Herstellungskosten'!B64</f>
        <v>Ton I              Ton II</v>
      </c>
      <c r="B23" s="674">
        <f>'Kalkulation Herstellungskosten'!G64</f>
        <v>0</v>
      </c>
      <c r="C23" s="666"/>
      <c r="D23" s="86"/>
      <c r="E23" s="86"/>
      <c r="F23" s="86"/>
      <c r="G23" s="687">
        <f t="shared" si="0"/>
        <v>0</v>
      </c>
      <c r="H23" s="86"/>
      <c r="I23" s="86"/>
      <c r="J23" s="687">
        <f t="shared" si="1"/>
        <v>0</v>
      </c>
      <c r="K23" s="86"/>
      <c r="L23" s="86"/>
      <c r="M23" s="86"/>
      <c r="N23" s="86"/>
      <c r="O23" s="86"/>
      <c r="P23" s="86"/>
      <c r="Q23" s="86"/>
      <c r="R23" s="86"/>
      <c r="S23" s="86"/>
      <c r="T23" s="687">
        <f t="shared" si="2"/>
        <v>0</v>
      </c>
      <c r="U23" s="666"/>
      <c r="V23" s="666"/>
      <c r="W23" s="666"/>
      <c r="X23" s="666"/>
      <c r="Y23" s="666"/>
      <c r="Z23" s="666"/>
      <c r="AA23" s="666"/>
      <c r="AB23" s="666"/>
      <c r="AC23" s="666"/>
      <c r="AD23" s="666"/>
      <c r="AE23" s="666"/>
      <c r="AF23" s="666"/>
      <c r="AG23" s="666"/>
      <c r="AH23" s="666"/>
      <c r="AI23" s="666"/>
      <c r="AJ23" s="666"/>
      <c r="AK23" s="666"/>
      <c r="AL23" s="666"/>
      <c r="AM23" s="666"/>
      <c r="AN23" s="666"/>
      <c r="AO23" s="666"/>
      <c r="AP23" s="666"/>
      <c r="AQ23" s="666"/>
      <c r="AR23" s="666"/>
      <c r="AS23" s="666"/>
      <c r="AT23" s="666"/>
      <c r="AU23" s="666"/>
      <c r="AV23" s="666"/>
      <c r="AW23" s="666"/>
      <c r="AX23" s="666"/>
      <c r="AY23" s="666"/>
      <c r="AZ23" s="666"/>
    </row>
    <row r="24" spans="1:52" ht="12.75" customHeight="1" x14ac:dyDescent="0.2">
      <c r="A24" s="706" t="str">
        <f>'Kalkulation Herstellungskosten'!B66</f>
        <v>Tonassistenz</v>
      </c>
      <c r="B24" s="674">
        <f>'Kalkulation Herstellungskosten'!G66</f>
        <v>0</v>
      </c>
      <c r="C24" s="666"/>
      <c r="D24" s="86"/>
      <c r="E24" s="86"/>
      <c r="F24" s="86"/>
      <c r="G24" s="687">
        <f t="shared" si="0"/>
        <v>0</v>
      </c>
      <c r="H24" s="86"/>
      <c r="I24" s="86"/>
      <c r="J24" s="687">
        <f t="shared" si="1"/>
        <v>0</v>
      </c>
      <c r="K24" s="86"/>
      <c r="L24" s="86"/>
      <c r="M24" s="86"/>
      <c r="N24" s="86"/>
      <c r="O24" s="86"/>
      <c r="P24" s="86"/>
      <c r="Q24" s="86"/>
      <c r="R24" s="86"/>
      <c r="S24" s="86"/>
      <c r="T24" s="687">
        <f t="shared" si="2"/>
        <v>0</v>
      </c>
      <c r="U24" s="666"/>
      <c r="V24" s="666"/>
      <c r="W24" s="666"/>
      <c r="X24" s="666"/>
      <c r="Y24" s="666"/>
      <c r="Z24" s="666"/>
      <c r="AA24" s="666"/>
      <c r="AB24" s="666"/>
      <c r="AC24" s="666"/>
      <c r="AD24" s="666"/>
      <c r="AE24" s="666"/>
      <c r="AF24" s="666"/>
      <c r="AG24" s="666"/>
      <c r="AH24" s="666"/>
      <c r="AI24" s="666"/>
      <c r="AJ24" s="666"/>
      <c r="AK24" s="666"/>
      <c r="AL24" s="666"/>
      <c r="AM24" s="666"/>
      <c r="AN24" s="666"/>
      <c r="AO24" s="666"/>
      <c r="AP24" s="666"/>
      <c r="AQ24" s="666"/>
      <c r="AR24" s="666"/>
      <c r="AS24" s="666"/>
      <c r="AT24" s="666"/>
      <c r="AU24" s="666"/>
      <c r="AV24" s="666"/>
      <c r="AW24" s="666"/>
      <c r="AX24" s="666"/>
      <c r="AY24" s="666"/>
      <c r="AZ24" s="666"/>
    </row>
    <row r="25" spans="1:52" ht="12.75" customHeight="1" x14ac:dyDescent="0.2">
      <c r="A25" s="706" t="str">
        <f>'Kalkulation Herstellungskosten'!B68</f>
        <v>Primärtontechnik</v>
      </c>
      <c r="B25" s="674">
        <f>'Kalkulation Herstellungskosten'!G68</f>
        <v>0</v>
      </c>
      <c r="C25" s="666"/>
      <c r="D25" s="86"/>
      <c r="E25" s="86"/>
      <c r="F25" s="86"/>
      <c r="G25" s="687">
        <f t="shared" si="0"/>
        <v>0</v>
      </c>
      <c r="H25" s="86"/>
      <c r="I25" s="86"/>
      <c r="J25" s="687">
        <f t="shared" si="1"/>
        <v>0</v>
      </c>
      <c r="K25" s="86"/>
      <c r="L25" s="86"/>
      <c r="M25" s="86"/>
      <c r="N25" s="86"/>
      <c r="O25" s="86"/>
      <c r="P25" s="86"/>
      <c r="Q25" s="86"/>
      <c r="R25" s="86"/>
      <c r="S25" s="86"/>
      <c r="T25" s="687">
        <f t="shared" si="2"/>
        <v>0</v>
      </c>
      <c r="U25" s="666"/>
      <c r="V25" s="666"/>
      <c r="W25" s="666"/>
      <c r="X25" s="666"/>
      <c r="Y25" s="666"/>
      <c r="Z25" s="666"/>
      <c r="AA25" s="666"/>
      <c r="AB25" s="666"/>
      <c r="AC25" s="666"/>
      <c r="AD25" s="666"/>
      <c r="AE25" s="666"/>
      <c r="AF25" s="666"/>
      <c r="AG25" s="666"/>
      <c r="AH25" s="666"/>
      <c r="AI25" s="666"/>
      <c r="AJ25" s="666"/>
      <c r="AK25" s="666"/>
      <c r="AL25" s="666"/>
      <c r="AM25" s="666"/>
      <c r="AN25" s="666"/>
      <c r="AO25" s="666"/>
      <c r="AP25" s="666"/>
      <c r="AQ25" s="666"/>
      <c r="AR25" s="666"/>
      <c r="AS25" s="666"/>
      <c r="AT25" s="666"/>
      <c r="AU25" s="666"/>
      <c r="AV25" s="666"/>
      <c r="AW25" s="666"/>
      <c r="AX25" s="666"/>
      <c r="AY25" s="666"/>
      <c r="AZ25" s="666"/>
    </row>
    <row r="26" spans="1:52" ht="12.75" customHeight="1" x14ac:dyDescent="0.2">
      <c r="A26" s="706" t="str">
        <f>'Kalkulation Herstellungskosten'!B70</f>
        <v>Schnitt</v>
      </c>
      <c r="B26" s="674">
        <f>'Kalkulation Herstellungskosten'!G70</f>
        <v>0</v>
      </c>
      <c r="C26" s="666"/>
      <c r="D26" s="86"/>
      <c r="E26" s="86"/>
      <c r="F26" s="86"/>
      <c r="G26" s="687">
        <f t="shared" si="0"/>
        <v>0</v>
      </c>
      <c r="H26" s="86"/>
      <c r="I26" s="86"/>
      <c r="J26" s="687">
        <f t="shared" si="1"/>
        <v>0</v>
      </c>
      <c r="K26" s="86"/>
      <c r="L26" s="86"/>
      <c r="M26" s="86"/>
      <c r="N26" s="86"/>
      <c r="O26" s="86"/>
      <c r="P26" s="86"/>
      <c r="Q26" s="86"/>
      <c r="R26" s="86"/>
      <c r="S26" s="86"/>
      <c r="T26" s="687">
        <f t="shared" si="2"/>
        <v>0</v>
      </c>
      <c r="U26" s="666"/>
      <c r="V26" s="666"/>
      <c r="W26" s="666"/>
      <c r="X26" s="666"/>
      <c r="Y26" s="666"/>
      <c r="Z26" s="666"/>
      <c r="AA26" s="666"/>
      <c r="AB26" s="666"/>
      <c r="AC26" s="666"/>
      <c r="AD26" s="666"/>
      <c r="AE26" s="666"/>
      <c r="AF26" s="666"/>
      <c r="AG26" s="666"/>
      <c r="AH26" s="666"/>
      <c r="AI26" s="666"/>
      <c r="AJ26" s="666"/>
      <c r="AK26" s="666"/>
      <c r="AL26" s="666"/>
      <c r="AM26" s="666"/>
      <c r="AN26" s="666"/>
      <c r="AO26" s="666"/>
      <c r="AP26" s="666"/>
      <c r="AQ26" s="666"/>
      <c r="AR26" s="666"/>
      <c r="AS26" s="666"/>
      <c r="AT26" s="666"/>
      <c r="AU26" s="666"/>
      <c r="AV26" s="666"/>
      <c r="AW26" s="666"/>
      <c r="AX26" s="666"/>
      <c r="AY26" s="666"/>
      <c r="AZ26" s="666"/>
    </row>
    <row r="27" spans="1:52" ht="12.75" customHeight="1" x14ac:dyDescent="0.2">
      <c r="A27" s="706" t="str">
        <f>'Kalkulation Herstellungskosten'!B72</f>
        <v>Schnittassistenz</v>
      </c>
      <c r="B27" s="674">
        <f>'Kalkulation Herstellungskosten'!G72</f>
        <v>0</v>
      </c>
      <c r="C27" s="666"/>
      <c r="D27" s="86"/>
      <c r="E27" s="86"/>
      <c r="F27" s="86"/>
      <c r="G27" s="687">
        <f t="shared" si="0"/>
        <v>0</v>
      </c>
      <c r="H27" s="86"/>
      <c r="I27" s="86"/>
      <c r="J27" s="687">
        <f t="shared" si="1"/>
        <v>0</v>
      </c>
      <c r="K27" s="86"/>
      <c r="L27" s="86"/>
      <c r="M27" s="86"/>
      <c r="N27" s="86"/>
      <c r="O27" s="86"/>
      <c r="P27" s="86"/>
      <c r="Q27" s="86"/>
      <c r="R27" s="86"/>
      <c r="S27" s="86"/>
      <c r="T27" s="687">
        <f t="shared" si="2"/>
        <v>0</v>
      </c>
      <c r="U27" s="666"/>
      <c r="V27" s="666"/>
      <c r="W27" s="666"/>
      <c r="X27" s="666"/>
      <c r="Y27" s="666"/>
      <c r="Z27" s="666"/>
      <c r="AA27" s="666"/>
      <c r="AB27" s="666"/>
      <c r="AC27" s="666"/>
      <c r="AD27" s="666"/>
      <c r="AE27" s="666"/>
      <c r="AF27" s="666"/>
      <c r="AG27" s="666"/>
      <c r="AH27" s="666"/>
      <c r="AI27" s="666"/>
      <c r="AJ27" s="666"/>
      <c r="AK27" s="666"/>
      <c r="AL27" s="666"/>
      <c r="AM27" s="666"/>
      <c r="AN27" s="666"/>
      <c r="AO27" s="666"/>
      <c r="AP27" s="666"/>
      <c r="AQ27" s="666"/>
      <c r="AR27" s="666"/>
      <c r="AS27" s="666"/>
      <c r="AT27" s="666"/>
      <c r="AU27" s="666"/>
      <c r="AV27" s="666"/>
      <c r="AW27" s="666"/>
      <c r="AX27" s="666"/>
      <c r="AY27" s="666"/>
      <c r="AZ27" s="666"/>
    </row>
    <row r="28" spans="1:52" ht="12.75" customHeight="1" x14ac:dyDescent="0.2">
      <c r="A28" s="706" t="str">
        <f>'Kalkulation Herstellungskosten'!B74</f>
        <v>Sound Design</v>
      </c>
      <c r="B28" s="674">
        <f>'Kalkulation Herstellungskosten'!G74</f>
        <v>0</v>
      </c>
      <c r="C28" s="666"/>
      <c r="D28" s="86"/>
      <c r="E28" s="86"/>
      <c r="F28" s="86"/>
      <c r="G28" s="687">
        <f t="shared" si="0"/>
        <v>0</v>
      </c>
      <c r="H28" s="86"/>
      <c r="I28" s="86"/>
      <c r="J28" s="687">
        <f t="shared" si="1"/>
        <v>0</v>
      </c>
      <c r="K28" s="86"/>
      <c r="L28" s="86"/>
      <c r="M28" s="86"/>
      <c r="N28" s="86"/>
      <c r="O28" s="86"/>
      <c r="P28" s="86"/>
      <c r="Q28" s="86"/>
      <c r="R28" s="86"/>
      <c r="S28" s="86"/>
      <c r="T28" s="687">
        <f t="shared" si="2"/>
        <v>0</v>
      </c>
      <c r="U28" s="666"/>
      <c r="V28" s="666"/>
      <c r="W28" s="666"/>
      <c r="X28" s="666"/>
      <c r="Y28" s="666"/>
      <c r="Z28" s="666"/>
      <c r="AA28" s="666"/>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row>
    <row r="29" spans="1:52" ht="12.75" customHeight="1" x14ac:dyDescent="0.2">
      <c r="A29" s="706" t="str">
        <f>'Kalkulation Herstellungskosten'!B76</f>
        <v>Tonschnitt</v>
      </c>
      <c r="B29" s="674">
        <f>'Kalkulation Herstellungskosten'!G76</f>
        <v>0</v>
      </c>
      <c r="C29" s="666"/>
      <c r="D29" s="86"/>
      <c r="E29" s="86"/>
      <c r="F29" s="86"/>
      <c r="G29" s="687"/>
      <c r="H29" s="86"/>
      <c r="I29" s="86"/>
      <c r="J29" s="687"/>
      <c r="K29" s="86"/>
      <c r="L29" s="86"/>
      <c r="M29" s="86"/>
      <c r="N29" s="86"/>
      <c r="O29" s="86"/>
      <c r="P29" s="86"/>
      <c r="Q29" s="86"/>
      <c r="R29" s="86"/>
      <c r="S29" s="86"/>
      <c r="T29" s="687">
        <f t="shared" si="2"/>
        <v>0</v>
      </c>
      <c r="U29" s="666"/>
      <c r="V29" s="666"/>
      <c r="W29" s="666"/>
      <c r="X29" s="666"/>
      <c r="Y29" s="666"/>
      <c r="Z29" s="666"/>
      <c r="AA29" s="666"/>
      <c r="AB29" s="666"/>
      <c r="AC29" s="666"/>
      <c r="AD29" s="666"/>
      <c r="AE29" s="666"/>
      <c r="AF29" s="666"/>
      <c r="AG29" s="666"/>
      <c r="AH29" s="666"/>
      <c r="AI29" s="666"/>
      <c r="AJ29" s="666"/>
      <c r="AK29" s="666"/>
      <c r="AL29" s="666"/>
      <c r="AM29" s="666"/>
      <c r="AN29" s="666"/>
      <c r="AO29" s="666"/>
      <c r="AP29" s="666"/>
      <c r="AQ29" s="666"/>
      <c r="AR29" s="666"/>
      <c r="AS29" s="666"/>
      <c r="AT29" s="666"/>
      <c r="AU29" s="666"/>
      <c r="AV29" s="666"/>
      <c r="AW29" s="666"/>
      <c r="AX29" s="666"/>
      <c r="AY29" s="666"/>
      <c r="AZ29" s="666"/>
    </row>
    <row r="30" spans="1:52" ht="12.75" customHeight="1" x14ac:dyDescent="0.2">
      <c r="A30" s="706" t="str">
        <f>'Kalkulation Herstellungskosten'!B78</f>
        <v>Kostümbild</v>
      </c>
      <c r="B30" s="674">
        <f>'Kalkulation Herstellungskosten'!G78</f>
        <v>0</v>
      </c>
      <c r="C30" s="666"/>
      <c r="D30" s="86"/>
      <c r="E30" s="86"/>
      <c r="F30" s="86"/>
      <c r="G30" s="687">
        <f t="shared" si="0"/>
        <v>0</v>
      </c>
      <c r="H30" s="86"/>
      <c r="I30" s="86"/>
      <c r="J30" s="687">
        <f t="shared" si="1"/>
        <v>0</v>
      </c>
      <c r="K30" s="86"/>
      <c r="L30" s="86"/>
      <c r="M30" s="86"/>
      <c r="N30" s="86"/>
      <c r="O30" s="86"/>
      <c r="P30" s="86"/>
      <c r="Q30" s="86"/>
      <c r="R30" s="86"/>
      <c r="S30" s="86"/>
      <c r="T30" s="687">
        <f t="shared" si="2"/>
        <v>0</v>
      </c>
      <c r="U30" s="666"/>
      <c r="V30" s="666"/>
      <c r="W30" s="666"/>
      <c r="X30" s="666"/>
      <c r="Y30" s="666"/>
      <c r="Z30" s="666"/>
      <c r="AA30" s="666"/>
      <c r="AB30" s="666"/>
      <c r="AC30" s="666"/>
      <c r="AD30" s="666"/>
      <c r="AE30" s="666"/>
      <c r="AF30" s="666"/>
      <c r="AG30" s="666"/>
      <c r="AH30" s="666"/>
      <c r="AI30" s="666"/>
      <c r="AJ30" s="666"/>
      <c r="AK30" s="666"/>
      <c r="AL30" s="666"/>
      <c r="AM30" s="666"/>
      <c r="AN30" s="666"/>
      <c r="AO30" s="666"/>
      <c r="AP30" s="666"/>
      <c r="AQ30" s="666"/>
      <c r="AR30" s="666"/>
      <c r="AS30" s="666"/>
      <c r="AT30" s="666"/>
      <c r="AU30" s="666"/>
      <c r="AV30" s="666"/>
      <c r="AW30" s="666"/>
      <c r="AX30" s="666"/>
      <c r="AY30" s="666"/>
      <c r="AZ30" s="666"/>
    </row>
    <row r="31" spans="1:52" ht="12.75" customHeight="1" x14ac:dyDescent="0.2">
      <c r="A31" s="706" t="str">
        <f>'Kalkulation Herstellungskosten'!B80</f>
        <v>Kostümbildassistenz</v>
      </c>
      <c r="B31" s="674">
        <f>'Kalkulation Herstellungskosten'!G80</f>
        <v>0</v>
      </c>
      <c r="C31" s="666"/>
      <c r="D31" s="86"/>
      <c r="E31" s="86"/>
      <c r="F31" s="86"/>
      <c r="G31" s="687">
        <f t="shared" si="0"/>
        <v>0</v>
      </c>
      <c r="H31" s="86"/>
      <c r="I31" s="86"/>
      <c r="J31" s="687">
        <f t="shared" si="1"/>
        <v>0</v>
      </c>
      <c r="K31" s="86"/>
      <c r="L31" s="86"/>
      <c r="M31" s="86"/>
      <c r="N31" s="86"/>
      <c r="O31" s="86"/>
      <c r="P31" s="86"/>
      <c r="Q31" s="86"/>
      <c r="R31" s="86"/>
      <c r="S31" s="86"/>
      <c r="T31" s="687">
        <f t="shared" si="2"/>
        <v>0</v>
      </c>
      <c r="U31" s="666"/>
      <c r="V31" s="666"/>
      <c r="W31" s="666"/>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row>
    <row r="32" spans="1:52" ht="12.75" customHeight="1" x14ac:dyDescent="0.2">
      <c r="A32" s="706" t="str">
        <f>'Kalkulation Herstellungskosten'!B82</f>
        <v>Garderobe</v>
      </c>
      <c r="B32" s="674">
        <f>'Kalkulation Herstellungskosten'!G82</f>
        <v>0</v>
      </c>
      <c r="C32" s="666"/>
      <c r="D32" s="86"/>
      <c r="E32" s="86"/>
      <c r="F32" s="86"/>
      <c r="G32" s="687">
        <f t="shared" si="0"/>
        <v>0</v>
      </c>
      <c r="H32" s="86"/>
      <c r="I32" s="86"/>
      <c r="J32" s="687">
        <f t="shared" si="1"/>
        <v>0</v>
      </c>
      <c r="K32" s="86"/>
      <c r="L32" s="86"/>
      <c r="M32" s="86"/>
      <c r="N32" s="86"/>
      <c r="O32" s="86"/>
      <c r="P32" s="86"/>
      <c r="Q32" s="86"/>
      <c r="R32" s="86"/>
      <c r="S32" s="86"/>
      <c r="T32" s="687">
        <f t="shared" si="2"/>
        <v>0</v>
      </c>
      <c r="U32" s="666"/>
      <c r="V32" s="666"/>
      <c r="W32" s="666"/>
      <c r="X32" s="666"/>
      <c r="Y32" s="666"/>
      <c r="Z32" s="666"/>
      <c r="AA32" s="666"/>
      <c r="AB32" s="666"/>
      <c r="AC32" s="666"/>
      <c r="AD32" s="666"/>
      <c r="AE32" s="666"/>
      <c r="AF32" s="666"/>
      <c r="AG32" s="666"/>
      <c r="AH32" s="666"/>
      <c r="AI32" s="666"/>
      <c r="AJ32" s="666"/>
      <c r="AK32" s="666"/>
      <c r="AL32" s="666"/>
      <c r="AM32" s="666"/>
      <c r="AN32" s="666"/>
      <c r="AO32" s="666"/>
      <c r="AP32" s="666"/>
      <c r="AQ32" s="666"/>
      <c r="AR32" s="666"/>
      <c r="AS32" s="666"/>
      <c r="AT32" s="666"/>
      <c r="AU32" s="666"/>
      <c r="AV32" s="666"/>
      <c r="AW32" s="666"/>
      <c r="AX32" s="666"/>
      <c r="AY32" s="666"/>
      <c r="AZ32" s="666"/>
    </row>
    <row r="33" spans="1:52" ht="12.75" customHeight="1" x14ac:dyDescent="0.2">
      <c r="A33" s="706" t="str">
        <f>'Kalkulation Herstellungskosten'!B84</f>
        <v>Garderobe</v>
      </c>
      <c r="B33" s="674">
        <f>'Kalkulation Herstellungskosten'!G84</f>
        <v>0</v>
      </c>
      <c r="C33" s="666"/>
      <c r="D33" s="86"/>
      <c r="E33" s="86"/>
      <c r="F33" s="86"/>
      <c r="G33" s="687">
        <f t="shared" si="0"/>
        <v>0</v>
      </c>
      <c r="H33" s="86"/>
      <c r="I33" s="86"/>
      <c r="J33" s="687">
        <f t="shared" si="1"/>
        <v>0</v>
      </c>
      <c r="K33" s="86"/>
      <c r="L33" s="86"/>
      <c r="M33" s="86"/>
      <c r="N33" s="86"/>
      <c r="O33" s="86"/>
      <c r="P33" s="86"/>
      <c r="Q33" s="86"/>
      <c r="R33" s="86"/>
      <c r="S33" s="86"/>
      <c r="T33" s="687">
        <f t="shared" si="2"/>
        <v>0</v>
      </c>
      <c r="U33" s="666"/>
      <c r="V33" s="666"/>
      <c r="W33" s="666"/>
      <c r="X33" s="666"/>
      <c r="Y33" s="666"/>
      <c r="Z33" s="666"/>
      <c r="AA33" s="666"/>
      <c r="AB33" s="666"/>
      <c r="AC33" s="666"/>
      <c r="AD33" s="666"/>
      <c r="AE33" s="666"/>
      <c r="AF33" s="666"/>
      <c r="AG33" s="666"/>
      <c r="AH33" s="666"/>
      <c r="AI33" s="666"/>
      <c r="AJ33" s="666"/>
      <c r="AK33" s="666"/>
      <c r="AL33" s="666"/>
      <c r="AM33" s="666"/>
      <c r="AN33" s="666"/>
      <c r="AO33" s="666"/>
      <c r="AP33" s="666"/>
      <c r="AQ33" s="666"/>
      <c r="AR33" s="666"/>
      <c r="AS33" s="666"/>
      <c r="AT33" s="666"/>
      <c r="AU33" s="666"/>
      <c r="AV33" s="666"/>
      <c r="AW33" s="666"/>
      <c r="AX33" s="666"/>
      <c r="AY33" s="666"/>
      <c r="AZ33" s="666"/>
    </row>
    <row r="34" spans="1:52" ht="12.75" customHeight="1" x14ac:dyDescent="0.2">
      <c r="A34" s="706" t="str">
        <f>'Kalkulation Herstellungskosten'!B86</f>
        <v>Garderobenhilfe</v>
      </c>
      <c r="B34" s="674">
        <f>'Kalkulation Herstellungskosten'!G86</f>
        <v>0</v>
      </c>
      <c r="C34" s="666"/>
      <c r="D34" s="86"/>
      <c r="E34" s="86"/>
      <c r="F34" s="86"/>
      <c r="G34" s="687">
        <f t="shared" si="0"/>
        <v>0</v>
      </c>
      <c r="H34" s="86"/>
      <c r="I34" s="86"/>
      <c r="J34" s="687">
        <f t="shared" si="1"/>
        <v>0</v>
      </c>
      <c r="K34" s="86"/>
      <c r="L34" s="86"/>
      <c r="M34" s="86"/>
      <c r="N34" s="86"/>
      <c r="O34" s="86"/>
      <c r="P34" s="86"/>
      <c r="Q34" s="86"/>
      <c r="R34" s="86"/>
      <c r="S34" s="86"/>
      <c r="T34" s="687">
        <f t="shared" si="2"/>
        <v>0</v>
      </c>
      <c r="U34" s="666"/>
      <c r="V34" s="666"/>
      <c r="W34" s="666"/>
      <c r="X34" s="666"/>
      <c r="Y34" s="666"/>
      <c r="Z34" s="666"/>
      <c r="AA34" s="666"/>
      <c r="AB34" s="666"/>
      <c r="AC34" s="666"/>
      <c r="AD34" s="666"/>
      <c r="AE34" s="666"/>
      <c r="AF34" s="666"/>
      <c r="AG34" s="666"/>
      <c r="AH34" s="666"/>
      <c r="AI34" s="666"/>
      <c r="AJ34" s="666"/>
      <c r="AK34" s="666"/>
      <c r="AL34" s="666"/>
      <c r="AM34" s="666"/>
      <c r="AN34" s="666"/>
      <c r="AO34" s="666"/>
      <c r="AP34" s="666"/>
      <c r="AQ34" s="666"/>
      <c r="AR34" s="666"/>
      <c r="AS34" s="666"/>
      <c r="AT34" s="666"/>
      <c r="AU34" s="666"/>
      <c r="AV34" s="666"/>
      <c r="AW34" s="666"/>
      <c r="AX34" s="666"/>
      <c r="AY34" s="666"/>
      <c r="AZ34" s="666"/>
    </row>
    <row r="35" spans="1:52" ht="12.75" customHeight="1" x14ac:dyDescent="0.2">
      <c r="A35" s="706" t="str">
        <f>'Kalkulation Herstellungskosten'!B88</f>
        <v>Außenrequisite</v>
      </c>
      <c r="B35" s="674">
        <f>'Kalkulation Herstellungskosten'!G88</f>
        <v>0</v>
      </c>
      <c r="C35" s="666"/>
      <c r="D35" s="86"/>
      <c r="E35" s="86"/>
      <c r="F35" s="86"/>
      <c r="G35" s="687">
        <f t="shared" si="0"/>
        <v>0</v>
      </c>
      <c r="H35" s="86"/>
      <c r="I35" s="86"/>
      <c r="J35" s="687">
        <f t="shared" si="1"/>
        <v>0</v>
      </c>
      <c r="K35" s="86"/>
      <c r="L35" s="86"/>
      <c r="M35" s="86"/>
      <c r="N35" s="86"/>
      <c r="O35" s="86"/>
      <c r="P35" s="86"/>
      <c r="Q35" s="86"/>
      <c r="R35" s="86"/>
      <c r="S35" s="86"/>
      <c r="T35" s="687">
        <f t="shared" si="2"/>
        <v>0</v>
      </c>
      <c r="U35" s="666"/>
      <c r="V35" s="666"/>
      <c r="W35" s="666"/>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row>
    <row r="36" spans="1:52" ht="12.75" customHeight="1" x14ac:dyDescent="0.2">
      <c r="A36" s="706" t="str">
        <f>'Kalkulation Herstellungskosten'!B90</f>
        <v>Innenrequisite</v>
      </c>
      <c r="B36" s="674">
        <f>'Kalkulation Herstellungskosten'!G90</f>
        <v>0</v>
      </c>
      <c r="C36" s="666"/>
      <c r="D36" s="86"/>
      <c r="E36" s="86"/>
      <c r="F36" s="86"/>
      <c r="G36" s="687">
        <f t="shared" si="0"/>
        <v>0</v>
      </c>
      <c r="H36" s="86"/>
      <c r="I36" s="86"/>
      <c r="J36" s="687">
        <f t="shared" si="1"/>
        <v>0</v>
      </c>
      <c r="K36" s="86"/>
      <c r="L36" s="86"/>
      <c r="M36" s="86"/>
      <c r="N36" s="86"/>
      <c r="O36" s="86"/>
      <c r="P36" s="86"/>
      <c r="Q36" s="86"/>
      <c r="R36" s="86"/>
      <c r="S36" s="86"/>
      <c r="T36" s="687">
        <f t="shared" si="2"/>
        <v>0</v>
      </c>
      <c r="U36" s="666"/>
      <c r="V36" s="666"/>
      <c r="W36" s="666"/>
      <c r="X36" s="666"/>
      <c r="Y36" s="666"/>
      <c r="Z36" s="666"/>
      <c r="AA36" s="666"/>
      <c r="AB36" s="666"/>
      <c r="AC36" s="666"/>
      <c r="AD36" s="666"/>
      <c r="AE36" s="666"/>
      <c r="AF36" s="666"/>
      <c r="AG36" s="666"/>
      <c r="AH36" s="666"/>
      <c r="AI36" s="666"/>
      <c r="AJ36" s="666"/>
      <c r="AK36" s="666"/>
      <c r="AL36" s="666"/>
      <c r="AM36" s="666"/>
      <c r="AN36" s="666"/>
      <c r="AO36" s="666"/>
      <c r="AP36" s="666"/>
      <c r="AQ36" s="666"/>
      <c r="AR36" s="666"/>
      <c r="AS36" s="666"/>
      <c r="AT36" s="666"/>
      <c r="AU36" s="666"/>
      <c r="AV36" s="666"/>
      <c r="AW36" s="666"/>
      <c r="AX36" s="666"/>
      <c r="AY36" s="666"/>
      <c r="AZ36" s="666"/>
    </row>
    <row r="37" spans="1:52" ht="12.75" customHeight="1" x14ac:dyDescent="0.2">
      <c r="A37" s="706" t="str">
        <f>'Kalkulation Herstellungskosten'!B92</f>
        <v>Requisitenhilfe</v>
      </c>
      <c r="B37" s="674">
        <f>'Kalkulation Herstellungskosten'!G92</f>
        <v>0</v>
      </c>
      <c r="C37" s="666"/>
      <c r="D37" s="86"/>
      <c r="E37" s="86"/>
      <c r="F37" s="86"/>
      <c r="G37" s="687">
        <f t="shared" si="0"/>
        <v>0</v>
      </c>
      <c r="H37" s="86"/>
      <c r="I37" s="86"/>
      <c r="J37" s="687">
        <f t="shared" si="1"/>
        <v>0</v>
      </c>
      <c r="K37" s="86"/>
      <c r="L37" s="86"/>
      <c r="M37" s="86"/>
      <c r="N37" s="86"/>
      <c r="O37" s="86"/>
      <c r="P37" s="86"/>
      <c r="Q37" s="86"/>
      <c r="R37" s="86"/>
      <c r="S37" s="86"/>
      <c r="T37" s="687">
        <f t="shared" si="2"/>
        <v>0</v>
      </c>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row>
    <row r="38" spans="1:52" ht="12.75" customHeight="1" x14ac:dyDescent="0.2">
      <c r="A38" s="706" t="str">
        <f>'Kalkulation Herstellungskosten'!B94</f>
        <v>Szenenbild (Filmarchitektur)</v>
      </c>
      <c r="B38" s="674">
        <f>'Kalkulation Herstellungskosten'!G94</f>
        <v>0</v>
      </c>
      <c r="C38" s="666"/>
      <c r="D38" s="86"/>
      <c r="E38" s="86"/>
      <c r="F38" s="86"/>
      <c r="G38" s="687"/>
      <c r="H38" s="86"/>
      <c r="I38" s="86"/>
      <c r="J38" s="687"/>
      <c r="K38" s="86"/>
      <c r="L38" s="86"/>
      <c r="M38" s="86"/>
      <c r="N38" s="86"/>
      <c r="O38" s="86"/>
      <c r="P38" s="86"/>
      <c r="Q38" s="86"/>
      <c r="R38" s="86"/>
      <c r="S38" s="86"/>
      <c r="T38" s="687">
        <f t="shared" si="2"/>
        <v>0</v>
      </c>
      <c r="U38" s="666"/>
      <c r="V38" s="666"/>
      <c r="W38" s="666"/>
      <c r="X38" s="666"/>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row>
    <row r="39" spans="1:52" ht="12.75" customHeight="1" x14ac:dyDescent="0.2">
      <c r="A39" s="706" t="str">
        <f>'Kalkulation Herstellungskosten'!B96</f>
        <v>Szenenbildassistenz</v>
      </c>
      <c r="B39" s="674">
        <f>'Kalkulation Herstellungskosten'!G96</f>
        <v>0</v>
      </c>
      <c r="C39" s="666"/>
      <c r="D39" s="86"/>
      <c r="E39" s="86"/>
      <c r="F39" s="86"/>
      <c r="G39" s="687">
        <f t="shared" si="0"/>
        <v>0</v>
      </c>
      <c r="H39" s="86"/>
      <c r="I39" s="86"/>
      <c r="J39" s="687">
        <f t="shared" si="1"/>
        <v>0</v>
      </c>
      <c r="K39" s="86"/>
      <c r="L39" s="86"/>
      <c r="M39" s="86"/>
      <c r="N39" s="86"/>
      <c r="O39" s="86"/>
      <c r="P39" s="86"/>
      <c r="Q39" s="86"/>
      <c r="R39" s="86"/>
      <c r="S39" s="86"/>
      <c r="T39" s="687">
        <f t="shared" si="2"/>
        <v>0</v>
      </c>
      <c r="U39" s="666"/>
      <c r="V39" s="666"/>
      <c r="W39" s="666"/>
      <c r="X39" s="666"/>
      <c r="Y39" s="666"/>
      <c r="Z39" s="666"/>
      <c r="AA39" s="666"/>
      <c r="AB39" s="666"/>
      <c r="AC39" s="666"/>
      <c r="AD39" s="666"/>
      <c r="AE39" s="666"/>
      <c r="AF39" s="666"/>
      <c r="AG39" s="666"/>
      <c r="AH39" s="666"/>
      <c r="AI39" s="666"/>
      <c r="AJ39" s="666"/>
      <c r="AK39" s="666"/>
      <c r="AL39" s="666"/>
      <c r="AM39" s="666"/>
      <c r="AN39" s="666"/>
      <c r="AO39" s="666"/>
      <c r="AP39" s="666"/>
      <c r="AQ39" s="666"/>
      <c r="AR39" s="666"/>
      <c r="AS39" s="666"/>
      <c r="AT39" s="666"/>
      <c r="AU39" s="666"/>
      <c r="AV39" s="666"/>
      <c r="AW39" s="666"/>
      <c r="AX39" s="666"/>
      <c r="AY39" s="666"/>
      <c r="AZ39" s="666"/>
    </row>
    <row r="40" spans="1:52" ht="12.75" customHeight="1" x14ac:dyDescent="0.2">
      <c r="A40" s="706" t="str">
        <f>'Kalkulation Herstellungskosten'!B98</f>
        <v>Maskenbild</v>
      </c>
      <c r="B40" s="674">
        <f>'Kalkulation Herstellungskosten'!G98</f>
        <v>0</v>
      </c>
      <c r="C40" s="666"/>
      <c r="D40" s="86"/>
      <c r="E40" s="86"/>
      <c r="F40" s="86"/>
      <c r="G40" s="687">
        <f t="shared" si="0"/>
        <v>0</v>
      </c>
      <c r="H40" s="86"/>
      <c r="I40" s="86"/>
      <c r="J40" s="687">
        <f t="shared" si="1"/>
        <v>0</v>
      </c>
      <c r="K40" s="86"/>
      <c r="L40" s="86"/>
      <c r="M40" s="86"/>
      <c r="N40" s="86"/>
      <c r="O40" s="86"/>
      <c r="P40" s="86"/>
      <c r="Q40" s="86"/>
      <c r="R40" s="86"/>
      <c r="S40" s="86"/>
      <c r="T40" s="687">
        <f t="shared" si="2"/>
        <v>0</v>
      </c>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666"/>
      <c r="AU40" s="666"/>
      <c r="AV40" s="666"/>
      <c r="AW40" s="666"/>
      <c r="AX40" s="666"/>
      <c r="AY40" s="666"/>
      <c r="AZ40" s="666"/>
    </row>
    <row r="41" spans="1:52" ht="12.75" customHeight="1" x14ac:dyDescent="0.2">
      <c r="A41" s="706" t="str">
        <f>'Kalkulation Herstellungskosten'!B100</f>
        <v>Maskenbild</v>
      </c>
      <c r="B41" s="674">
        <f>'Kalkulation Herstellungskosten'!G100</f>
        <v>0</v>
      </c>
      <c r="C41" s="666"/>
      <c r="D41" s="86"/>
      <c r="E41" s="86"/>
      <c r="F41" s="86"/>
      <c r="G41" s="687">
        <f t="shared" si="0"/>
        <v>0</v>
      </c>
      <c r="H41" s="86"/>
      <c r="I41" s="86"/>
      <c r="J41" s="687">
        <f t="shared" si="1"/>
        <v>0</v>
      </c>
      <c r="K41" s="86"/>
      <c r="L41" s="86"/>
      <c r="M41" s="86"/>
      <c r="N41" s="86"/>
      <c r="O41" s="86"/>
      <c r="P41" s="86"/>
      <c r="Q41" s="86"/>
      <c r="R41" s="86"/>
      <c r="S41" s="86"/>
      <c r="T41" s="687">
        <f t="shared" si="2"/>
        <v>0</v>
      </c>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666"/>
      <c r="AU41" s="666"/>
      <c r="AV41" s="666"/>
      <c r="AW41" s="666"/>
      <c r="AX41" s="666"/>
      <c r="AY41" s="666"/>
      <c r="AZ41" s="666"/>
    </row>
    <row r="42" spans="1:52" ht="12.75" customHeight="1" x14ac:dyDescent="0.2">
      <c r="A42" s="706" t="str">
        <f>'Kalkulation Herstellungskosten'!B102</f>
        <v>Maskenbildhilfe</v>
      </c>
      <c r="B42" s="674">
        <f>'Kalkulation Herstellungskosten'!G102</f>
        <v>0</v>
      </c>
      <c r="C42" s="666"/>
      <c r="D42" s="86"/>
      <c r="E42" s="86"/>
      <c r="F42" s="86"/>
      <c r="G42" s="687">
        <f t="shared" si="0"/>
        <v>0</v>
      </c>
      <c r="H42" s="86"/>
      <c r="I42" s="86"/>
      <c r="J42" s="687">
        <f t="shared" si="1"/>
        <v>0</v>
      </c>
      <c r="K42" s="86"/>
      <c r="L42" s="86"/>
      <c r="M42" s="86"/>
      <c r="N42" s="86"/>
      <c r="O42" s="86"/>
      <c r="P42" s="86"/>
      <c r="Q42" s="86"/>
      <c r="R42" s="86"/>
      <c r="S42" s="86"/>
      <c r="T42" s="687">
        <f t="shared" si="2"/>
        <v>0</v>
      </c>
      <c r="U42" s="666"/>
      <c r="V42" s="666"/>
      <c r="W42" s="666"/>
      <c r="X42" s="666"/>
      <c r="Y42" s="666"/>
      <c r="Z42" s="666"/>
      <c r="AA42" s="666"/>
      <c r="AB42" s="666"/>
      <c r="AC42" s="666"/>
      <c r="AD42" s="666"/>
      <c r="AE42" s="666"/>
      <c r="AF42" s="666"/>
      <c r="AG42" s="666"/>
      <c r="AH42" s="666"/>
      <c r="AI42" s="666"/>
      <c r="AJ42" s="666"/>
      <c r="AK42" s="666"/>
      <c r="AL42" s="666"/>
      <c r="AM42" s="666"/>
      <c r="AN42" s="666"/>
      <c r="AO42" s="666"/>
      <c r="AP42" s="666"/>
      <c r="AQ42" s="666"/>
      <c r="AR42" s="666"/>
      <c r="AS42" s="666"/>
      <c r="AT42" s="666"/>
      <c r="AU42" s="666"/>
      <c r="AV42" s="666"/>
      <c r="AW42" s="666"/>
      <c r="AX42" s="666"/>
      <c r="AY42" s="666"/>
      <c r="AZ42" s="666"/>
    </row>
    <row r="43" spans="1:52" ht="12.75" customHeight="1" x14ac:dyDescent="0.2">
      <c r="A43" s="706" t="str">
        <f>'Kalkulation Herstellungskosten'!B104</f>
        <v>Frisur</v>
      </c>
      <c r="B43" s="674">
        <f>'Kalkulation Herstellungskosten'!G104</f>
        <v>0</v>
      </c>
      <c r="C43" s="666"/>
      <c r="D43" s="86"/>
      <c r="E43" s="86"/>
      <c r="F43" s="86"/>
      <c r="G43" s="687">
        <f t="shared" si="0"/>
        <v>0</v>
      </c>
      <c r="H43" s="86"/>
      <c r="I43" s="86"/>
      <c r="J43" s="687">
        <f t="shared" si="1"/>
        <v>0</v>
      </c>
      <c r="K43" s="86"/>
      <c r="L43" s="86"/>
      <c r="M43" s="86"/>
      <c r="N43" s="86"/>
      <c r="O43" s="86"/>
      <c r="P43" s="86"/>
      <c r="Q43" s="86"/>
      <c r="R43" s="86"/>
      <c r="S43" s="86"/>
      <c r="T43" s="687">
        <f t="shared" si="2"/>
        <v>0</v>
      </c>
      <c r="U43" s="666"/>
      <c r="V43" s="666"/>
      <c r="W43" s="666"/>
      <c r="X43" s="666"/>
      <c r="Y43" s="666"/>
      <c r="Z43" s="666"/>
      <c r="AA43" s="666"/>
      <c r="AB43" s="666"/>
      <c r="AC43" s="666"/>
      <c r="AD43" s="666"/>
      <c r="AE43" s="666"/>
      <c r="AF43" s="666"/>
      <c r="AG43" s="666"/>
      <c r="AH43" s="666"/>
      <c r="AI43" s="666"/>
      <c r="AJ43" s="666"/>
      <c r="AK43" s="666"/>
      <c r="AL43" s="666"/>
      <c r="AM43" s="666"/>
      <c r="AN43" s="666"/>
      <c r="AO43" s="666"/>
      <c r="AP43" s="666"/>
      <c r="AQ43" s="666"/>
      <c r="AR43" s="666"/>
      <c r="AS43" s="666"/>
      <c r="AT43" s="666"/>
      <c r="AU43" s="666"/>
      <c r="AV43" s="666"/>
      <c r="AW43" s="666"/>
      <c r="AX43" s="666"/>
      <c r="AY43" s="666"/>
      <c r="AZ43" s="666"/>
    </row>
    <row r="44" spans="1:52" ht="12.75" customHeight="1" x14ac:dyDescent="0.2">
      <c r="A44" s="706" t="str">
        <f>'Kalkulation Herstellungskosten'!B106</f>
        <v>Produktionsfahrer*in</v>
      </c>
      <c r="B44" s="674">
        <f>'Kalkulation Herstellungskosten'!G106</f>
        <v>0</v>
      </c>
      <c r="C44" s="666"/>
      <c r="D44" s="86"/>
      <c r="E44" s="86"/>
      <c r="F44" s="86"/>
      <c r="G44" s="687">
        <f t="shared" si="0"/>
        <v>0</v>
      </c>
      <c r="H44" s="86"/>
      <c r="I44" s="86"/>
      <c r="J44" s="687">
        <f t="shared" si="1"/>
        <v>0</v>
      </c>
      <c r="K44" s="86"/>
      <c r="L44" s="86"/>
      <c r="M44" s="86"/>
      <c r="N44" s="86"/>
      <c r="O44" s="86"/>
      <c r="P44" s="86"/>
      <c r="Q44" s="86"/>
      <c r="R44" s="86"/>
      <c r="S44" s="86"/>
      <c r="T44" s="687">
        <f t="shared" si="2"/>
        <v>0</v>
      </c>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6"/>
      <c r="AT44" s="666"/>
      <c r="AU44" s="666"/>
      <c r="AV44" s="666"/>
      <c r="AW44" s="666"/>
      <c r="AX44" s="666"/>
      <c r="AY44" s="666"/>
      <c r="AZ44" s="666"/>
    </row>
    <row r="45" spans="1:52" ht="12.75" customHeight="1" x14ac:dyDescent="0.2">
      <c r="A45" s="706" t="str">
        <f>'Kalkulation Herstellungskosten'!B108</f>
        <v>Produktionsfahrer*in</v>
      </c>
      <c r="B45" s="674">
        <f>'Kalkulation Herstellungskosten'!G108</f>
        <v>0</v>
      </c>
      <c r="C45" s="666"/>
      <c r="D45" s="86"/>
      <c r="E45" s="86"/>
      <c r="F45" s="86"/>
      <c r="G45" s="687">
        <f t="shared" si="0"/>
        <v>0</v>
      </c>
      <c r="H45" s="86"/>
      <c r="I45" s="86"/>
      <c r="J45" s="687">
        <f t="shared" si="1"/>
        <v>0</v>
      </c>
      <c r="K45" s="86"/>
      <c r="L45" s="86"/>
      <c r="M45" s="86"/>
      <c r="N45" s="86"/>
      <c r="O45" s="86"/>
      <c r="P45" s="86"/>
      <c r="Q45" s="86"/>
      <c r="R45" s="86"/>
      <c r="S45" s="86"/>
      <c r="T45" s="687">
        <f t="shared" si="2"/>
        <v>0</v>
      </c>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6"/>
      <c r="AT45" s="666"/>
      <c r="AU45" s="666"/>
      <c r="AV45" s="666"/>
      <c r="AW45" s="666"/>
      <c r="AX45" s="666"/>
      <c r="AY45" s="666"/>
      <c r="AZ45" s="666"/>
    </row>
    <row r="46" spans="1:52" ht="12.75" customHeight="1" x14ac:dyDescent="0.2">
      <c r="A46" s="706" t="str">
        <f>'Kalkulation Herstellungskosten'!B110</f>
        <v>Produktionsfahrer*in</v>
      </c>
      <c r="B46" s="674">
        <f>'Kalkulation Herstellungskosten'!G110</f>
        <v>0</v>
      </c>
      <c r="C46" s="666"/>
      <c r="D46" s="86"/>
      <c r="E46" s="86"/>
      <c r="F46" s="86"/>
      <c r="G46" s="687">
        <f>E46*F46</f>
        <v>0</v>
      </c>
      <c r="H46" s="86"/>
      <c r="I46" s="86"/>
      <c r="J46" s="687">
        <f>H46*I46</f>
        <v>0</v>
      </c>
      <c r="K46" s="86"/>
      <c r="L46" s="86"/>
      <c r="M46" s="86"/>
      <c r="N46" s="86"/>
      <c r="O46" s="86"/>
      <c r="P46" s="86"/>
      <c r="Q46" s="86"/>
      <c r="R46" s="86"/>
      <c r="S46" s="86"/>
      <c r="T46" s="687">
        <f t="shared" si="2"/>
        <v>0</v>
      </c>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6"/>
      <c r="AT46" s="666"/>
      <c r="AU46" s="666"/>
      <c r="AV46" s="666"/>
      <c r="AW46" s="666"/>
      <c r="AX46" s="666"/>
      <c r="AY46" s="666"/>
      <c r="AZ46" s="666"/>
    </row>
    <row r="47" spans="1:52" ht="12.75" customHeight="1" x14ac:dyDescent="0.2">
      <c r="A47" s="706" t="str">
        <f>'Kalkulation Herstellungskosten'!B112</f>
        <v>Oberbeleuchter*in</v>
      </c>
      <c r="B47" s="674">
        <f>'Kalkulation Herstellungskosten'!G112</f>
        <v>0</v>
      </c>
      <c r="C47" s="666"/>
      <c r="D47" s="86"/>
      <c r="E47" s="86"/>
      <c r="F47" s="86"/>
      <c r="G47" s="687">
        <f t="shared" si="0"/>
        <v>0</v>
      </c>
      <c r="H47" s="86"/>
      <c r="I47" s="86"/>
      <c r="J47" s="687">
        <f t="shared" si="1"/>
        <v>0</v>
      </c>
      <c r="K47" s="86"/>
      <c r="L47" s="86"/>
      <c r="M47" s="86"/>
      <c r="N47" s="86"/>
      <c r="O47" s="86"/>
      <c r="P47" s="86"/>
      <c r="Q47" s="86"/>
      <c r="R47" s="86"/>
      <c r="S47" s="86"/>
      <c r="T47" s="687">
        <f t="shared" si="2"/>
        <v>0</v>
      </c>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6"/>
      <c r="AT47" s="666"/>
      <c r="AU47" s="666"/>
      <c r="AV47" s="666"/>
      <c r="AW47" s="666"/>
      <c r="AX47" s="666"/>
      <c r="AY47" s="666"/>
      <c r="AZ47" s="666"/>
    </row>
    <row r="48" spans="1:52" ht="12.75" customHeight="1" x14ac:dyDescent="0.2">
      <c r="A48" s="706" t="str">
        <f>'Kalkulation Herstellungskosten'!B114</f>
        <v>Beleuchter*in</v>
      </c>
      <c r="B48" s="674">
        <f>'Kalkulation Herstellungskosten'!G114</f>
        <v>0</v>
      </c>
      <c r="C48" s="666"/>
      <c r="D48" s="86"/>
      <c r="E48" s="86"/>
      <c r="F48" s="86"/>
      <c r="G48" s="687">
        <f t="shared" si="0"/>
        <v>0</v>
      </c>
      <c r="H48" s="86"/>
      <c r="I48" s="86"/>
      <c r="J48" s="687">
        <f t="shared" si="1"/>
        <v>0</v>
      </c>
      <c r="K48" s="86"/>
      <c r="L48" s="86"/>
      <c r="M48" s="86"/>
      <c r="N48" s="86"/>
      <c r="O48" s="86"/>
      <c r="P48" s="86"/>
      <c r="Q48" s="86"/>
      <c r="R48" s="86"/>
      <c r="S48" s="86"/>
      <c r="T48" s="687">
        <f t="shared" si="2"/>
        <v>0</v>
      </c>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6"/>
      <c r="AT48" s="666"/>
      <c r="AU48" s="666"/>
      <c r="AV48" s="666"/>
      <c r="AW48" s="666"/>
      <c r="AX48" s="666"/>
      <c r="AY48" s="666"/>
      <c r="AZ48" s="666"/>
    </row>
    <row r="49" spans="1:52" ht="12.75" customHeight="1" x14ac:dyDescent="0.2">
      <c r="A49" s="706" t="str">
        <f>'Kalkulation Herstellungskosten'!B116</f>
        <v>Beleuchter*in</v>
      </c>
      <c r="B49" s="674">
        <f>'Kalkulation Herstellungskosten'!G116</f>
        <v>0</v>
      </c>
      <c r="C49" s="666"/>
      <c r="D49" s="86"/>
      <c r="E49" s="86"/>
      <c r="F49" s="86"/>
      <c r="G49" s="687">
        <f t="shared" si="0"/>
        <v>0</v>
      </c>
      <c r="H49" s="86"/>
      <c r="I49" s="86"/>
      <c r="J49" s="687">
        <f t="shared" si="1"/>
        <v>0</v>
      </c>
      <c r="K49" s="86"/>
      <c r="L49" s="86"/>
      <c r="M49" s="86"/>
      <c r="N49" s="86"/>
      <c r="O49" s="86"/>
      <c r="P49" s="86"/>
      <c r="Q49" s="86"/>
      <c r="R49" s="86"/>
      <c r="S49" s="86"/>
      <c r="T49" s="687">
        <f t="shared" si="2"/>
        <v>0</v>
      </c>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6"/>
      <c r="AT49" s="666"/>
      <c r="AU49" s="666"/>
      <c r="AV49" s="666"/>
      <c r="AW49" s="666"/>
      <c r="AX49" s="666"/>
      <c r="AY49" s="666"/>
      <c r="AZ49" s="666"/>
    </row>
    <row r="50" spans="1:52" ht="12.75" customHeight="1" x14ac:dyDescent="0.2">
      <c r="A50" s="706" t="str">
        <f>'Kalkulation Herstellungskosten'!B118</f>
        <v>Beleuchter*in</v>
      </c>
      <c r="B50" s="674">
        <f>'Kalkulation Herstellungskosten'!G118</f>
        <v>0</v>
      </c>
      <c r="C50" s="666"/>
      <c r="D50" s="86"/>
      <c r="E50" s="86"/>
      <c r="F50" s="86"/>
      <c r="G50" s="687">
        <f t="shared" si="0"/>
        <v>0</v>
      </c>
      <c r="H50" s="86"/>
      <c r="I50" s="86"/>
      <c r="J50" s="687">
        <f t="shared" si="1"/>
        <v>0</v>
      </c>
      <c r="K50" s="86"/>
      <c r="L50" s="86"/>
      <c r="M50" s="86"/>
      <c r="N50" s="86"/>
      <c r="O50" s="86"/>
      <c r="P50" s="86"/>
      <c r="Q50" s="86"/>
      <c r="R50" s="86"/>
      <c r="S50" s="86"/>
      <c r="T50" s="687">
        <f t="shared" si="2"/>
        <v>0</v>
      </c>
      <c r="U50" s="666"/>
      <c r="V50" s="666"/>
      <c r="W50" s="666"/>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6"/>
      <c r="AT50" s="666"/>
      <c r="AU50" s="666"/>
      <c r="AV50" s="666"/>
      <c r="AW50" s="666"/>
      <c r="AX50" s="666"/>
      <c r="AY50" s="666"/>
      <c r="AZ50" s="666"/>
    </row>
    <row r="51" spans="1:52" ht="12.75" customHeight="1" x14ac:dyDescent="0.2">
      <c r="A51" s="706" t="str">
        <f>'Kalkulation Herstellungskosten'!B120</f>
        <v>Bühnenmeister*in</v>
      </c>
      <c r="B51" s="674">
        <f>'Kalkulation Herstellungskosten'!G120</f>
        <v>0</v>
      </c>
      <c r="C51" s="666"/>
      <c r="D51" s="86"/>
      <c r="E51" s="86"/>
      <c r="F51" s="86"/>
      <c r="G51" s="687">
        <f t="shared" si="0"/>
        <v>0</v>
      </c>
      <c r="H51" s="86"/>
      <c r="I51" s="86"/>
      <c r="J51" s="687">
        <f t="shared" si="1"/>
        <v>0</v>
      </c>
      <c r="K51" s="86"/>
      <c r="L51" s="86"/>
      <c r="M51" s="86"/>
      <c r="N51" s="86"/>
      <c r="O51" s="86"/>
      <c r="P51" s="86"/>
      <c r="Q51" s="86"/>
      <c r="R51" s="86"/>
      <c r="S51" s="86"/>
      <c r="T51" s="687">
        <f t="shared" si="2"/>
        <v>0</v>
      </c>
      <c r="U51" s="666"/>
      <c r="V51" s="666"/>
      <c r="W51" s="666"/>
      <c r="X51" s="666"/>
      <c r="Y51" s="666"/>
      <c r="Z51" s="666"/>
      <c r="AA51" s="666"/>
      <c r="AB51" s="666"/>
      <c r="AC51" s="666"/>
      <c r="AD51" s="666"/>
      <c r="AE51" s="666"/>
      <c r="AF51" s="666"/>
      <c r="AG51" s="666"/>
      <c r="AH51" s="666"/>
      <c r="AI51" s="666"/>
      <c r="AJ51" s="666"/>
      <c r="AK51" s="666"/>
      <c r="AL51" s="666"/>
      <c r="AM51" s="666"/>
      <c r="AN51" s="666"/>
      <c r="AO51" s="666"/>
      <c r="AP51" s="666"/>
      <c r="AQ51" s="666"/>
      <c r="AR51" s="666"/>
      <c r="AS51" s="666"/>
      <c r="AT51" s="666"/>
      <c r="AU51" s="666"/>
      <c r="AV51" s="666"/>
      <c r="AW51" s="666"/>
      <c r="AX51" s="666"/>
      <c r="AY51" s="666"/>
      <c r="AZ51" s="666"/>
    </row>
    <row r="52" spans="1:52" ht="12.75" customHeight="1" x14ac:dyDescent="0.2">
      <c r="A52" s="706" t="str">
        <f>'Kalkulation Herstellungskosten'!B122</f>
        <v>Bühne</v>
      </c>
      <c r="B52" s="674">
        <f>'Kalkulation Herstellungskosten'!G122</f>
        <v>0</v>
      </c>
      <c r="C52" s="666"/>
      <c r="D52" s="86"/>
      <c r="E52" s="86"/>
      <c r="F52" s="86"/>
      <c r="G52" s="687">
        <f t="shared" si="0"/>
        <v>0</v>
      </c>
      <c r="H52" s="86"/>
      <c r="I52" s="86"/>
      <c r="J52" s="687">
        <f t="shared" si="1"/>
        <v>0</v>
      </c>
      <c r="K52" s="86"/>
      <c r="L52" s="86"/>
      <c r="M52" s="86"/>
      <c r="N52" s="86"/>
      <c r="O52" s="86"/>
      <c r="P52" s="86"/>
      <c r="Q52" s="86"/>
      <c r="R52" s="86"/>
      <c r="S52" s="86"/>
      <c r="T52" s="687">
        <f t="shared" si="2"/>
        <v>0</v>
      </c>
      <c r="U52" s="666"/>
      <c r="V52" s="666"/>
      <c r="W52" s="666"/>
      <c r="X52" s="666"/>
      <c r="Y52" s="666"/>
      <c r="Z52" s="666"/>
      <c r="AA52" s="666"/>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row>
    <row r="53" spans="1:52" ht="12.75" customHeight="1" x14ac:dyDescent="0.2">
      <c r="A53" s="706" t="str">
        <f>'Kalkulation Herstellungskosten'!B124</f>
        <v>Bühne</v>
      </c>
      <c r="B53" s="674">
        <f>'Kalkulation Herstellungskosten'!G124</f>
        <v>0</v>
      </c>
      <c r="C53" s="666"/>
      <c r="D53" s="86"/>
      <c r="E53" s="86"/>
      <c r="F53" s="86"/>
      <c r="G53" s="687">
        <f t="shared" si="0"/>
        <v>0</v>
      </c>
      <c r="H53" s="86"/>
      <c r="I53" s="86"/>
      <c r="J53" s="687">
        <f t="shared" si="1"/>
        <v>0</v>
      </c>
      <c r="K53" s="86"/>
      <c r="L53" s="86"/>
      <c r="M53" s="86"/>
      <c r="N53" s="86"/>
      <c r="O53" s="86"/>
      <c r="P53" s="86"/>
      <c r="Q53" s="86"/>
      <c r="R53" s="86"/>
      <c r="S53" s="86"/>
      <c r="T53" s="687">
        <f t="shared" si="2"/>
        <v>0</v>
      </c>
      <c r="U53" s="666"/>
      <c r="V53" s="666"/>
      <c r="W53" s="666"/>
      <c r="X53" s="666"/>
      <c r="Y53" s="666"/>
      <c r="Z53" s="666"/>
      <c r="AA53" s="666"/>
      <c r="AB53" s="666"/>
      <c r="AC53" s="666"/>
      <c r="AD53" s="666"/>
      <c r="AE53" s="666"/>
      <c r="AF53" s="666"/>
      <c r="AG53" s="666"/>
      <c r="AH53" s="666"/>
      <c r="AI53" s="666"/>
      <c r="AJ53" s="666"/>
      <c r="AK53" s="666"/>
      <c r="AL53" s="666"/>
      <c r="AM53" s="666"/>
      <c r="AN53" s="666"/>
      <c r="AO53" s="666"/>
      <c r="AP53" s="666"/>
      <c r="AQ53" s="666"/>
      <c r="AR53" s="666"/>
      <c r="AS53" s="666"/>
      <c r="AT53" s="666"/>
      <c r="AU53" s="666"/>
      <c r="AV53" s="666"/>
      <c r="AW53" s="666"/>
      <c r="AX53" s="666"/>
      <c r="AY53" s="666"/>
      <c r="AZ53" s="666"/>
    </row>
    <row r="54" spans="1:52" ht="12.75" customHeight="1" x14ac:dyDescent="0.2">
      <c r="A54" s="706" t="str">
        <f>'Kalkulation Herstellungskosten'!B126</f>
        <v>Bühne</v>
      </c>
      <c r="B54" s="674">
        <f>'Kalkulation Herstellungskosten'!G126</f>
        <v>0</v>
      </c>
      <c r="C54" s="666"/>
      <c r="D54" s="86"/>
      <c r="E54" s="86"/>
      <c r="F54" s="86"/>
      <c r="G54" s="687">
        <f t="shared" si="0"/>
        <v>0</v>
      </c>
      <c r="H54" s="86"/>
      <c r="I54" s="86"/>
      <c r="J54" s="687">
        <f t="shared" si="1"/>
        <v>0</v>
      </c>
      <c r="K54" s="86"/>
      <c r="L54" s="86"/>
      <c r="M54" s="86"/>
      <c r="N54" s="86"/>
      <c r="O54" s="86"/>
      <c r="P54" s="86"/>
      <c r="Q54" s="86"/>
      <c r="R54" s="86"/>
      <c r="S54" s="86"/>
      <c r="T54" s="687">
        <f t="shared" si="2"/>
        <v>0</v>
      </c>
      <c r="U54" s="666"/>
      <c r="V54" s="666"/>
      <c r="W54" s="666"/>
      <c r="X54" s="666"/>
      <c r="Y54" s="666"/>
      <c r="Z54" s="666"/>
      <c r="AA54" s="666"/>
      <c r="AB54" s="666"/>
      <c r="AC54" s="666"/>
      <c r="AD54" s="666"/>
      <c r="AE54" s="666"/>
      <c r="AF54" s="666"/>
      <c r="AG54" s="666"/>
      <c r="AH54" s="666"/>
      <c r="AI54" s="666"/>
      <c r="AJ54" s="666"/>
      <c r="AK54" s="666"/>
      <c r="AL54" s="666"/>
      <c r="AM54" s="666"/>
      <c r="AN54" s="666"/>
      <c r="AO54" s="666"/>
      <c r="AP54" s="666"/>
      <c r="AQ54" s="666"/>
      <c r="AR54" s="666"/>
      <c r="AS54" s="666"/>
      <c r="AT54" s="666"/>
      <c r="AU54" s="666"/>
      <c r="AV54" s="666"/>
      <c r="AW54" s="666"/>
      <c r="AX54" s="666"/>
      <c r="AY54" s="666"/>
      <c r="AZ54" s="666"/>
    </row>
    <row r="55" spans="1:52" ht="12.75" customHeight="1" x14ac:dyDescent="0.2">
      <c r="A55" s="706" t="str">
        <f>'Kalkulation Herstellungskosten'!B128</f>
        <v>Musikaufnahmeleiter*in</v>
      </c>
      <c r="B55" s="674">
        <f>'Kalkulation Herstellungskosten'!G128</f>
        <v>0</v>
      </c>
      <c r="C55" s="666"/>
      <c r="D55" s="86"/>
      <c r="E55" s="86"/>
      <c r="F55" s="86"/>
      <c r="G55" s="687">
        <f t="shared" si="0"/>
        <v>0</v>
      </c>
      <c r="H55" s="86"/>
      <c r="I55" s="86"/>
      <c r="J55" s="687">
        <f t="shared" si="1"/>
        <v>0</v>
      </c>
      <c r="K55" s="86"/>
      <c r="L55" s="86"/>
      <c r="M55" s="86"/>
      <c r="N55" s="86"/>
      <c r="O55" s="86"/>
      <c r="P55" s="86"/>
      <c r="Q55" s="86"/>
      <c r="R55" s="86"/>
      <c r="S55" s="86"/>
      <c r="T55" s="687">
        <f t="shared" si="2"/>
        <v>0</v>
      </c>
      <c r="U55" s="666"/>
      <c r="V55" s="666"/>
      <c r="W55" s="666"/>
      <c r="X55" s="666"/>
      <c r="Y55" s="666"/>
      <c r="Z55" s="666"/>
      <c r="AA55" s="666"/>
      <c r="AB55" s="666"/>
      <c r="AC55" s="666"/>
      <c r="AD55" s="666"/>
      <c r="AE55" s="666"/>
      <c r="AF55" s="666"/>
      <c r="AG55" s="666"/>
      <c r="AH55" s="666"/>
      <c r="AI55" s="666"/>
      <c r="AJ55" s="666"/>
      <c r="AK55" s="666"/>
      <c r="AL55" s="666"/>
      <c r="AM55" s="666"/>
      <c r="AN55" s="666"/>
      <c r="AO55" s="666"/>
      <c r="AP55" s="666"/>
      <c r="AQ55" s="666"/>
      <c r="AR55" s="666"/>
      <c r="AS55" s="666"/>
      <c r="AT55" s="666"/>
      <c r="AU55" s="666"/>
      <c r="AV55" s="666"/>
      <c r="AW55" s="666"/>
      <c r="AX55" s="666"/>
      <c r="AY55" s="666"/>
      <c r="AZ55" s="666"/>
    </row>
    <row r="56" spans="1:52" ht="12.75" customHeight="1" x14ac:dyDescent="0.2">
      <c r="A56" s="706" t="str">
        <f>'Kalkulation Herstellungskosten'!B130</f>
        <v>Synchronregie</v>
      </c>
      <c r="B56" s="674">
        <f>'Kalkulation Herstellungskosten'!G130</f>
        <v>0</v>
      </c>
      <c r="C56" s="666"/>
      <c r="D56" s="86"/>
      <c r="E56" s="86"/>
      <c r="F56" s="86"/>
      <c r="G56" s="687">
        <f t="shared" si="0"/>
        <v>0</v>
      </c>
      <c r="H56" s="86"/>
      <c r="I56" s="86"/>
      <c r="J56" s="687">
        <f t="shared" si="1"/>
        <v>0</v>
      </c>
      <c r="K56" s="86"/>
      <c r="L56" s="86"/>
      <c r="M56" s="86"/>
      <c r="N56" s="86"/>
      <c r="O56" s="86"/>
      <c r="P56" s="86"/>
      <c r="Q56" s="86"/>
      <c r="R56" s="86"/>
      <c r="S56" s="86"/>
      <c r="T56" s="687">
        <f t="shared" si="2"/>
        <v>0</v>
      </c>
      <c r="U56" s="666"/>
      <c r="V56" s="666"/>
      <c r="W56" s="666"/>
      <c r="X56" s="666"/>
      <c r="Y56" s="666"/>
      <c r="Z56" s="666"/>
      <c r="AA56" s="666"/>
      <c r="AB56" s="666"/>
      <c r="AC56" s="666"/>
      <c r="AD56" s="666"/>
      <c r="AE56" s="666"/>
      <c r="AF56" s="666"/>
      <c r="AG56" s="666"/>
      <c r="AH56" s="666"/>
      <c r="AI56" s="666"/>
      <c r="AJ56" s="666"/>
      <c r="AK56" s="666"/>
      <c r="AL56" s="666"/>
      <c r="AM56" s="666"/>
      <c r="AN56" s="666"/>
      <c r="AO56" s="666"/>
      <c r="AP56" s="666"/>
      <c r="AQ56" s="666"/>
      <c r="AR56" s="666"/>
      <c r="AS56" s="666"/>
      <c r="AT56" s="666"/>
      <c r="AU56" s="666"/>
      <c r="AV56" s="666"/>
      <c r="AW56" s="666"/>
      <c r="AX56" s="666"/>
      <c r="AY56" s="666"/>
      <c r="AZ56" s="666"/>
    </row>
    <row r="57" spans="1:52" ht="12.75" customHeight="1" x14ac:dyDescent="0.2">
      <c r="A57" s="668"/>
      <c r="B57" s="281"/>
      <c r="C57" s="666"/>
      <c r="D57" s="677"/>
      <c r="E57" s="678"/>
      <c r="F57" s="679"/>
      <c r="G57" s="679"/>
      <c r="H57" s="678"/>
      <c r="I57" s="678"/>
      <c r="J57" s="678"/>
      <c r="K57" s="678"/>
      <c r="L57" s="678"/>
      <c r="M57" s="680"/>
      <c r="N57" s="680"/>
      <c r="O57" s="666"/>
      <c r="P57" s="666"/>
      <c r="Q57" s="666"/>
      <c r="R57" s="666"/>
      <c r="S57" s="666"/>
      <c r="T57" s="678"/>
      <c r="U57" s="666"/>
      <c r="V57" s="666"/>
      <c r="W57" s="666"/>
      <c r="X57" s="666"/>
      <c r="Y57" s="666"/>
      <c r="Z57" s="666"/>
      <c r="AA57" s="666"/>
      <c r="AB57" s="666"/>
      <c r="AC57" s="666"/>
      <c r="AD57" s="666"/>
      <c r="AE57" s="666"/>
      <c r="AF57" s="666"/>
      <c r="AG57" s="666"/>
      <c r="AH57" s="666"/>
      <c r="AI57" s="666"/>
      <c r="AJ57" s="666"/>
      <c r="AK57" s="666"/>
      <c r="AL57" s="666"/>
      <c r="AM57" s="666"/>
      <c r="AN57" s="666"/>
      <c r="AO57" s="666"/>
      <c r="AP57" s="666"/>
      <c r="AQ57" s="666"/>
      <c r="AR57" s="666"/>
      <c r="AS57" s="666"/>
      <c r="AT57" s="666"/>
      <c r="AU57" s="666"/>
      <c r="AV57" s="666"/>
      <c r="AW57" s="666"/>
      <c r="AX57" s="666"/>
      <c r="AY57" s="666"/>
      <c r="AZ57" s="666"/>
    </row>
    <row r="58" spans="1:52" ht="12.75" customHeight="1" x14ac:dyDescent="0.2">
      <c r="A58" s="707" t="str">
        <f>'Kalkulation Herstellungskosten'!B133</f>
        <v>Sonstige MitarbeiterInnen</v>
      </c>
      <c r="B58" s="676"/>
      <c r="C58" s="666"/>
      <c r="D58" s="677"/>
      <c r="E58" s="678"/>
      <c r="F58" s="679"/>
      <c r="G58" s="679"/>
      <c r="H58" s="678"/>
      <c r="I58" s="678"/>
      <c r="J58" s="678"/>
      <c r="K58" s="678"/>
      <c r="L58" s="678"/>
      <c r="M58" s="680"/>
      <c r="N58" s="680"/>
      <c r="O58" s="666"/>
      <c r="P58" s="666"/>
      <c r="Q58" s="666"/>
      <c r="R58" s="666"/>
      <c r="S58" s="666"/>
      <c r="T58" s="678"/>
      <c r="U58" s="666"/>
      <c r="V58" s="666"/>
      <c r="W58" s="666"/>
      <c r="X58" s="666"/>
      <c r="Y58" s="666"/>
      <c r="Z58" s="666"/>
      <c r="AA58" s="666"/>
      <c r="AB58" s="666"/>
      <c r="AC58" s="666"/>
      <c r="AD58" s="666"/>
      <c r="AE58" s="666"/>
      <c r="AF58" s="666"/>
      <c r="AG58" s="666"/>
      <c r="AH58" s="666"/>
      <c r="AI58" s="666"/>
      <c r="AJ58" s="666"/>
      <c r="AK58" s="666"/>
      <c r="AL58" s="666"/>
      <c r="AM58" s="666"/>
      <c r="AN58" s="666"/>
      <c r="AO58" s="666"/>
      <c r="AP58" s="666"/>
      <c r="AQ58" s="666"/>
      <c r="AR58" s="666"/>
      <c r="AS58" s="666"/>
      <c r="AT58" s="666"/>
      <c r="AU58" s="666"/>
      <c r="AV58" s="666"/>
      <c r="AW58" s="666"/>
      <c r="AX58" s="666"/>
      <c r="AY58" s="666"/>
      <c r="AZ58" s="666"/>
    </row>
    <row r="59" spans="1:52" ht="12.75" customHeight="1" x14ac:dyDescent="0.2">
      <c r="A59" s="706" t="str">
        <f>'Kalkulation Herstellungskosten'!B134</f>
        <v>Green Film Consultant</v>
      </c>
      <c r="B59" s="674">
        <f>'Kalkulation Herstellungskosten'!G134</f>
        <v>0</v>
      </c>
      <c r="C59" s="666"/>
      <c r="D59" s="86"/>
      <c r="E59" s="86"/>
      <c r="F59" s="86"/>
      <c r="G59" s="687">
        <f>E59*F59</f>
        <v>0</v>
      </c>
      <c r="H59" s="86"/>
      <c r="I59" s="86"/>
      <c r="J59" s="687">
        <f>H59*I59</f>
        <v>0</v>
      </c>
      <c r="K59" s="86"/>
      <c r="L59" s="86"/>
      <c r="M59" s="86"/>
      <c r="N59" s="86"/>
      <c r="O59" s="86"/>
      <c r="P59" s="86"/>
      <c r="Q59" s="86"/>
      <c r="R59" s="86"/>
      <c r="S59" s="86"/>
      <c r="T59" s="687">
        <f>R59*S59</f>
        <v>0</v>
      </c>
      <c r="U59" s="666"/>
      <c r="V59" s="666"/>
      <c r="W59" s="666"/>
      <c r="X59" s="666"/>
      <c r="Y59" s="666"/>
      <c r="Z59" s="666"/>
      <c r="AA59" s="666"/>
      <c r="AB59" s="666"/>
      <c r="AC59" s="666"/>
      <c r="AD59" s="666"/>
      <c r="AE59" s="666"/>
      <c r="AF59" s="666"/>
      <c r="AG59" s="666"/>
      <c r="AH59" s="666"/>
      <c r="AI59" s="666"/>
      <c r="AJ59" s="666"/>
      <c r="AK59" s="666"/>
      <c r="AL59" s="666"/>
      <c r="AM59" s="666"/>
      <c r="AN59" s="666"/>
      <c r="AO59" s="666"/>
      <c r="AP59" s="666"/>
      <c r="AQ59" s="666"/>
      <c r="AR59" s="666"/>
      <c r="AS59" s="666"/>
      <c r="AT59" s="666"/>
      <c r="AU59" s="666"/>
      <c r="AV59" s="666"/>
      <c r="AW59" s="666"/>
      <c r="AX59" s="666"/>
      <c r="AY59" s="666"/>
      <c r="AZ59" s="666"/>
    </row>
    <row r="60" spans="1:52" ht="12.75" customHeight="1" x14ac:dyDescent="0.2">
      <c r="A60" s="706" t="str">
        <f>'Kalkulation Herstellungskosten'!B135</f>
        <v>Green Runner</v>
      </c>
      <c r="B60" s="674">
        <f>'Kalkulation Herstellungskosten'!G135</f>
        <v>0</v>
      </c>
      <c r="C60" s="666"/>
      <c r="D60" s="86"/>
      <c r="E60" s="86"/>
      <c r="F60" s="86"/>
      <c r="G60" s="687">
        <f t="shared" ref="G60:G65" si="3">E60*F60</f>
        <v>0</v>
      </c>
      <c r="H60" s="86"/>
      <c r="I60" s="86"/>
      <c r="J60" s="687">
        <f t="shared" ref="J60:J65" si="4">H60*I60</f>
        <v>0</v>
      </c>
      <c r="K60" s="86"/>
      <c r="L60" s="86"/>
      <c r="M60" s="86"/>
      <c r="N60" s="86"/>
      <c r="O60" s="86"/>
      <c r="P60" s="86"/>
      <c r="Q60" s="86"/>
      <c r="R60" s="86"/>
      <c r="S60" s="86"/>
      <c r="T60" s="687">
        <f t="shared" ref="T60:T79" si="5">R60*S60</f>
        <v>0</v>
      </c>
      <c r="U60" s="666"/>
      <c r="V60" s="666"/>
      <c r="W60" s="666"/>
      <c r="X60" s="666"/>
      <c r="Y60" s="666"/>
      <c r="Z60" s="666"/>
      <c r="AA60" s="666"/>
      <c r="AB60" s="666"/>
      <c r="AC60" s="666"/>
      <c r="AD60" s="666"/>
      <c r="AE60" s="666"/>
      <c r="AF60" s="666"/>
      <c r="AG60" s="666"/>
      <c r="AH60" s="666"/>
      <c r="AI60" s="666"/>
      <c r="AJ60" s="666"/>
      <c r="AK60" s="666"/>
      <c r="AL60" s="666"/>
      <c r="AM60" s="666"/>
      <c r="AN60" s="666"/>
      <c r="AO60" s="666"/>
      <c r="AP60" s="666"/>
      <c r="AQ60" s="666"/>
      <c r="AR60" s="666"/>
      <c r="AS60" s="666"/>
      <c r="AT60" s="666"/>
      <c r="AU60" s="666"/>
      <c r="AV60" s="666"/>
      <c r="AW60" s="666"/>
      <c r="AX60" s="666"/>
      <c r="AY60" s="666"/>
      <c r="AZ60" s="666"/>
    </row>
    <row r="61" spans="1:52" ht="12.75" customHeight="1" x14ac:dyDescent="0.2">
      <c r="A61" s="706">
        <f>'Kalkulation Herstellungskosten'!B136</f>
        <v>0</v>
      </c>
      <c r="B61" s="674">
        <f>'Kalkulation Herstellungskosten'!G136</f>
        <v>0</v>
      </c>
      <c r="C61" s="666"/>
      <c r="D61" s="86"/>
      <c r="E61" s="86"/>
      <c r="F61" s="86"/>
      <c r="G61" s="687">
        <f t="shared" si="3"/>
        <v>0</v>
      </c>
      <c r="H61" s="86"/>
      <c r="I61" s="86"/>
      <c r="J61" s="687">
        <f t="shared" si="4"/>
        <v>0</v>
      </c>
      <c r="K61" s="86"/>
      <c r="L61" s="86"/>
      <c r="M61" s="86"/>
      <c r="N61" s="86"/>
      <c r="O61" s="86"/>
      <c r="P61" s="86"/>
      <c r="Q61" s="86"/>
      <c r="R61" s="86"/>
      <c r="S61" s="86"/>
      <c r="T61" s="687">
        <f t="shared" si="5"/>
        <v>0</v>
      </c>
      <c r="U61" s="666"/>
      <c r="V61" s="666"/>
      <c r="W61" s="666"/>
      <c r="X61" s="666"/>
      <c r="Y61" s="666"/>
      <c r="Z61" s="666"/>
      <c r="AA61" s="666"/>
      <c r="AB61" s="666"/>
      <c r="AC61" s="666"/>
      <c r="AD61" s="666"/>
      <c r="AE61" s="666"/>
      <c r="AF61" s="666"/>
      <c r="AG61" s="666"/>
      <c r="AH61" s="666"/>
      <c r="AI61" s="666"/>
      <c r="AJ61" s="666"/>
      <c r="AK61" s="666"/>
      <c r="AL61" s="666"/>
      <c r="AM61" s="666"/>
      <c r="AN61" s="666"/>
      <c r="AO61" s="666"/>
      <c r="AP61" s="666"/>
      <c r="AQ61" s="666"/>
      <c r="AR61" s="666"/>
      <c r="AS61" s="666"/>
      <c r="AT61" s="666"/>
      <c r="AU61" s="666"/>
      <c r="AV61" s="666"/>
      <c r="AW61" s="666"/>
      <c r="AX61" s="666"/>
      <c r="AY61" s="666"/>
      <c r="AZ61" s="666"/>
    </row>
    <row r="62" spans="1:52" ht="12.75" customHeight="1" x14ac:dyDescent="0.2">
      <c r="A62" s="706">
        <f>'Kalkulation Herstellungskosten'!B137</f>
        <v>0</v>
      </c>
      <c r="B62" s="674">
        <f>'Kalkulation Herstellungskosten'!G137</f>
        <v>0</v>
      </c>
      <c r="C62" s="666"/>
      <c r="D62" s="86"/>
      <c r="E62" s="86"/>
      <c r="F62" s="86"/>
      <c r="G62" s="687">
        <f t="shared" si="3"/>
        <v>0</v>
      </c>
      <c r="H62" s="86"/>
      <c r="I62" s="86"/>
      <c r="J62" s="687">
        <f t="shared" si="4"/>
        <v>0</v>
      </c>
      <c r="K62" s="86"/>
      <c r="L62" s="86"/>
      <c r="M62" s="86"/>
      <c r="N62" s="86"/>
      <c r="O62" s="86"/>
      <c r="P62" s="86"/>
      <c r="Q62" s="86"/>
      <c r="R62" s="86"/>
      <c r="S62" s="86"/>
      <c r="T62" s="687">
        <f t="shared" si="5"/>
        <v>0</v>
      </c>
      <c r="U62" s="666"/>
      <c r="V62" s="666"/>
      <c r="W62" s="666"/>
      <c r="X62" s="666"/>
      <c r="Y62" s="666"/>
      <c r="Z62" s="666"/>
      <c r="AA62" s="666"/>
      <c r="AB62" s="666"/>
      <c r="AC62" s="666"/>
      <c r="AD62" s="666"/>
      <c r="AE62" s="666"/>
      <c r="AF62" s="666"/>
      <c r="AG62" s="666"/>
      <c r="AH62" s="666"/>
      <c r="AI62" s="666"/>
      <c r="AJ62" s="666"/>
      <c r="AK62" s="666"/>
      <c r="AL62" s="666"/>
      <c r="AM62" s="666"/>
      <c r="AN62" s="666"/>
      <c r="AO62" s="666"/>
      <c r="AP62" s="666"/>
      <c r="AQ62" s="666"/>
      <c r="AR62" s="666"/>
      <c r="AS62" s="666"/>
      <c r="AT62" s="666"/>
      <c r="AU62" s="666"/>
      <c r="AV62" s="666"/>
      <c r="AW62" s="666"/>
      <c r="AX62" s="666"/>
      <c r="AY62" s="666"/>
      <c r="AZ62" s="666"/>
    </row>
    <row r="63" spans="1:52" ht="12.75" customHeight="1" x14ac:dyDescent="0.2">
      <c r="A63" s="706">
        <f>'Kalkulation Herstellungskosten'!B138</f>
        <v>0</v>
      </c>
      <c r="B63" s="674">
        <f>'Kalkulation Herstellungskosten'!G138</f>
        <v>0</v>
      </c>
      <c r="C63" s="666"/>
      <c r="D63" s="86"/>
      <c r="E63" s="86"/>
      <c r="F63" s="86"/>
      <c r="G63" s="687">
        <f t="shared" si="3"/>
        <v>0</v>
      </c>
      <c r="H63" s="86"/>
      <c r="I63" s="86"/>
      <c r="J63" s="687">
        <f t="shared" si="4"/>
        <v>0</v>
      </c>
      <c r="K63" s="86"/>
      <c r="L63" s="86"/>
      <c r="M63" s="86"/>
      <c r="N63" s="86"/>
      <c r="O63" s="86"/>
      <c r="P63" s="86"/>
      <c r="Q63" s="86"/>
      <c r="R63" s="86"/>
      <c r="S63" s="86"/>
      <c r="T63" s="687">
        <f t="shared" si="5"/>
        <v>0</v>
      </c>
      <c r="U63" s="666"/>
      <c r="V63" s="666"/>
      <c r="W63" s="666"/>
      <c r="X63" s="666"/>
      <c r="Y63" s="666"/>
      <c r="Z63" s="666"/>
      <c r="AA63" s="666"/>
      <c r="AB63" s="666"/>
      <c r="AC63" s="666"/>
      <c r="AD63" s="666"/>
      <c r="AE63" s="666"/>
      <c r="AF63" s="666"/>
      <c r="AG63" s="666"/>
      <c r="AH63" s="666"/>
      <c r="AI63" s="666"/>
      <c r="AJ63" s="666"/>
      <c r="AK63" s="666"/>
      <c r="AL63" s="666"/>
      <c r="AM63" s="666"/>
      <c r="AN63" s="666"/>
      <c r="AO63" s="666"/>
      <c r="AP63" s="666"/>
      <c r="AQ63" s="666"/>
      <c r="AR63" s="666"/>
      <c r="AS63" s="666"/>
      <c r="AT63" s="666"/>
      <c r="AU63" s="666"/>
      <c r="AV63" s="666"/>
      <c r="AW63" s="666"/>
      <c r="AX63" s="666"/>
      <c r="AY63" s="666"/>
      <c r="AZ63" s="666"/>
    </row>
    <row r="64" spans="1:52" ht="12.75" customHeight="1" x14ac:dyDescent="0.2">
      <c r="A64" s="706">
        <f>'Kalkulation Herstellungskosten'!B139</f>
        <v>0</v>
      </c>
      <c r="B64" s="674">
        <f>'Kalkulation Herstellungskosten'!G139</f>
        <v>0</v>
      </c>
      <c r="C64" s="666"/>
      <c r="D64" s="86"/>
      <c r="E64" s="86"/>
      <c r="F64" s="86"/>
      <c r="G64" s="687">
        <f t="shared" si="3"/>
        <v>0</v>
      </c>
      <c r="H64" s="86"/>
      <c r="I64" s="86"/>
      <c r="J64" s="687">
        <f t="shared" si="4"/>
        <v>0</v>
      </c>
      <c r="K64" s="86"/>
      <c r="L64" s="86"/>
      <c r="M64" s="86"/>
      <c r="N64" s="86"/>
      <c r="O64" s="86"/>
      <c r="P64" s="86"/>
      <c r="Q64" s="86"/>
      <c r="R64" s="86"/>
      <c r="S64" s="86"/>
      <c r="T64" s="687">
        <f t="shared" si="5"/>
        <v>0</v>
      </c>
      <c r="U64" s="666"/>
      <c r="V64" s="666"/>
      <c r="W64" s="666"/>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6"/>
      <c r="AZ64" s="666"/>
    </row>
    <row r="65" spans="1:52" ht="12.75" customHeight="1" x14ac:dyDescent="0.2">
      <c r="A65" s="706">
        <f>'Kalkulation Herstellungskosten'!B140</f>
        <v>0</v>
      </c>
      <c r="B65" s="674">
        <f>'Kalkulation Herstellungskosten'!G140</f>
        <v>0</v>
      </c>
      <c r="C65" s="666"/>
      <c r="D65" s="86"/>
      <c r="E65" s="86"/>
      <c r="F65" s="86"/>
      <c r="G65" s="687">
        <f t="shared" si="3"/>
        <v>0</v>
      </c>
      <c r="H65" s="86"/>
      <c r="I65" s="86"/>
      <c r="J65" s="687">
        <f t="shared" si="4"/>
        <v>0</v>
      </c>
      <c r="K65" s="86"/>
      <c r="L65" s="86"/>
      <c r="M65" s="86"/>
      <c r="N65" s="86"/>
      <c r="O65" s="86"/>
      <c r="P65" s="86"/>
      <c r="Q65" s="86"/>
      <c r="R65" s="86"/>
      <c r="S65" s="86"/>
      <c r="T65" s="687">
        <f t="shared" si="5"/>
        <v>0</v>
      </c>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row>
    <row r="66" spans="1:52" ht="12.75" customHeight="1" x14ac:dyDescent="0.2">
      <c r="A66" s="706">
        <f>'Kalkulation Herstellungskosten'!B141</f>
        <v>0</v>
      </c>
      <c r="B66" s="674">
        <f>'Kalkulation Herstellungskosten'!G141</f>
        <v>0</v>
      </c>
      <c r="C66" s="666"/>
      <c r="D66" s="86"/>
      <c r="E66" s="86"/>
      <c r="F66" s="86"/>
      <c r="G66" s="687">
        <f>E66*F66</f>
        <v>0</v>
      </c>
      <c r="H66" s="86"/>
      <c r="I66" s="86"/>
      <c r="J66" s="687">
        <f>H66*I66</f>
        <v>0</v>
      </c>
      <c r="K66" s="86"/>
      <c r="L66" s="86"/>
      <c r="M66" s="86"/>
      <c r="N66" s="86"/>
      <c r="O66" s="86"/>
      <c r="P66" s="86"/>
      <c r="Q66" s="86"/>
      <c r="R66" s="86"/>
      <c r="S66" s="86"/>
      <c r="T66" s="687">
        <f t="shared" si="5"/>
        <v>0</v>
      </c>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row>
    <row r="67" spans="1:52" ht="12.75" customHeight="1" x14ac:dyDescent="0.2">
      <c r="A67" s="706">
        <f>'Kalkulation Herstellungskosten'!B142</f>
        <v>0</v>
      </c>
      <c r="B67" s="674">
        <f>'Kalkulation Herstellungskosten'!G142</f>
        <v>0</v>
      </c>
      <c r="C67" s="666"/>
      <c r="D67" s="86"/>
      <c r="E67" s="86"/>
      <c r="F67" s="86"/>
      <c r="G67" s="687">
        <f>E67*F67</f>
        <v>0</v>
      </c>
      <c r="H67" s="86"/>
      <c r="I67" s="86"/>
      <c r="J67" s="687">
        <f>H67*I67</f>
        <v>0</v>
      </c>
      <c r="K67" s="86"/>
      <c r="L67" s="86"/>
      <c r="M67" s="86"/>
      <c r="N67" s="86"/>
      <c r="O67" s="86"/>
      <c r="P67" s="86"/>
      <c r="Q67" s="86"/>
      <c r="R67" s="86"/>
      <c r="S67" s="86"/>
      <c r="T67" s="687">
        <f t="shared" si="5"/>
        <v>0</v>
      </c>
      <c r="U67" s="666"/>
      <c r="V67" s="666"/>
      <c r="W67" s="666"/>
      <c r="X67" s="666"/>
      <c r="Y67" s="666"/>
      <c r="Z67" s="666"/>
      <c r="AA67" s="666"/>
      <c r="AB67" s="666"/>
      <c r="AC67" s="666"/>
      <c r="AD67" s="666"/>
      <c r="AE67" s="666"/>
      <c r="AF67" s="666"/>
      <c r="AG67" s="666"/>
      <c r="AH67" s="666"/>
      <c r="AI67" s="666"/>
      <c r="AJ67" s="666"/>
      <c r="AK67" s="666"/>
      <c r="AL67" s="666"/>
      <c r="AM67" s="666"/>
      <c r="AN67" s="666"/>
      <c r="AO67" s="666"/>
      <c r="AP67" s="666"/>
      <c r="AQ67" s="666"/>
      <c r="AR67" s="666"/>
      <c r="AS67" s="666"/>
      <c r="AT67" s="666"/>
      <c r="AU67" s="666"/>
      <c r="AV67" s="666"/>
      <c r="AW67" s="666"/>
      <c r="AX67" s="666"/>
      <c r="AY67" s="666"/>
      <c r="AZ67" s="666"/>
    </row>
    <row r="68" spans="1:52" ht="12.75" customHeight="1" x14ac:dyDescent="0.2">
      <c r="A68" s="706">
        <f>'Kalkulation Herstellungskosten'!B143</f>
        <v>0</v>
      </c>
      <c r="B68" s="674">
        <f>'Kalkulation Herstellungskosten'!G143</f>
        <v>0</v>
      </c>
      <c r="C68" s="666"/>
      <c r="D68" s="86"/>
      <c r="E68" s="86"/>
      <c r="F68" s="86"/>
      <c r="G68" s="687">
        <f>E68*F68</f>
        <v>0</v>
      </c>
      <c r="H68" s="86"/>
      <c r="I68" s="86"/>
      <c r="J68" s="687">
        <f>H68*I68</f>
        <v>0</v>
      </c>
      <c r="K68" s="86"/>
      <c r="L68" s="86"/>
      <c r="M68" s="86"/>
      <c r="N68" s="86"/>
      <c r="O68" s="86"/>
      <c r="P68" s="86"/>
      <c r="Q68" s="86"/>
      <c r="R68" s="86"/>
      <c r="S68" s="86"/>
      <c r="T68" s="687">
        <f t="shared" si="5"/>
        <v>0</v>
      </c>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row>
    <row r="69" spans="1:52" ht="12.75" customHeight="1" x14ac:dyDescent="0.2">
      <c r="A69" s="706">
        <f>'Kalkulation Herstellungskosten'!B144</f>
        <v>0</v>
      </c>
      <c r="B69" s="674">
        <f>'Kalkulation Herstellungskosten'!G144</f>
        <v>0</v>
      </c>
      <c r="C69" s="666"/>
      <c r="D69" s="86"/>
      <c r="E69" s="86"/>
      <c r="F69" s="86"/>
      <c r="G69" s="687">
        <f t="shared" ref="G69:G79" si="6">E69*F69</f>
        <v>0</v>
      </c>
      <c r="H69" s="86"/>
      <c r="I69" s="86"/>
      <c r="J69" s="687">
        <f t="shared" ref="J69:J79" si="7">H69*I69</f>
        <v>0</v>
      </c>
      <c r="K69" s="86"/>
      <c r="L69" s="86"/>
      <c r="M69" s="86"/>
      <c r="N69" s="86"/>
      <c r="O69" s="86"/>
      <c r="P69" s="86"/>
      <c r="Q69" s="86"/>
      <c r="R69" s="86"/>
      <c r="S69" s="86"/>
      <c r="T69" s="687">
        <f t="shared" si="5"/>
        <v>0</v>
      </c>
      <c r="U69" s="666"/>
      <c r="V69" s="666"/>
      <c r="W69" s="666"/>
      <c r="X69" s="666"/>
      <c r="Y69" s="666"/>
      <c r="Z69" s="666"/>
      <c r="AA69" s="666"/>
      <c r="AB69" s="666"/>
      <c r="AC69" s="666"/>
      <c r="AD69" s="666"/>
      <c r="AE69" s="666"/>
      <c r="AF69" s="666"/>
      <c r="AG69" s="666"/>
      <c r="AH69" s="666"/>
      <c r="AI69" s="666"/>
      <c r="AJ69" s="666"/>
      <c r="AK69" s="666"/>
      <c r="AL69" s="666"/>
      <c r="AM69" s="666"/>
      <c r="AN69" s="666"/>
      <c r="AO69" s="666"/>
      <c r="AP69" s="666"/>
      <c r="AQ69" s="666"/>
      <c r="AR69" s="666"/>
      <c r="AS69" s="666"/>
      <c r="AT69" s="666"/>
      <c r="AU69" s="666"/>
      <c r="AV69" s="666"/>
      <c r="AW69" s="666"/>
      <c r="AX69" s="666"/>
      <c r="AY69" s="666"/>
      <c r="AZ69" s="666"/>
    </row>
    <row r="70" spans="1:52" ht="12.75" customHeight="1" x14ac:dyDescent="0.2">
      <c r="A70" s="706">
        <f>'Kalkulation Herstellungskosten'!B145</f>
        <v>0</v>
      </c>
      <c r="B70" s="674">
        <f>'Kalkulation Herstellungskosten'!G145</f>
        <v>0</v>
      </c>
      <c r="C70" s="666"/>
      <c r="D70" s="86"/>
      <c r="E70" s="86"/>
      <c r="F70" s="86"/>
      <c r="G70" s="687">
        <f t="shared" si="6"/>
        <v>0</v>
      </c>
      <c r="H70" s="86"/>
      <c r="I70" s="86"/>
      <c r="J70" s="687">
        <f t="shared" si="7"/>
        <v>0</v>
      </c>
      <c r="K70" s="86"/>
      <c r="L70" s="86"/>
      <c r="M70" s="86"/>
      <c r="N70" s="86"/>
      <c r="O70" s="86"/>
      <c r="P70" s="86"/>
      <c r="Q70" s="86"/>
      <c r="R70" s="86"/>
      <c r="S70" s="86"/>
      <c r="T70" s="687">
        <f t="shared" si="5"/>
        <v>0</v>
      </c>
      <c r="U70" s="666"/>
      <c r="V70" s="666"/>
      <c r="W70" s="666"/>
      <c r="X70" s="666"/>
      <c r="Y70" s="666"/>
      <c r="Z70" s="666"/>
      <c r="AA70" s="666"/>
      <c r="AB70" s="666"/>
      <c r="AC70" s="666"/>
      <c r="AD70" s="666"/>
      <c r="AE70" s="666"/>
      <c r="AF70" s="666"/>
      <c r="AG70" s="666"/>
      <c r="AH70" s="666"/>
      <c r="AI70" s="666"/>
      <c r="AJ70" s="666"/>
      <c r="AK70" s="666"/>
      <c r="AL70" s="666"/>
      <c r="AM70" s="666"/>
      <c r="AN70" s="666"/>
      <c r="AO70" s="666"/>
      <c r="AP70" s="666"/>
      <c r="AQ70" s="666"/>
      <c r="AR70" s="666"/>
      <c r="AS70" s="666"/>
      <c r="AT70" s="666"/>
      <c r="AU70" s="666"/>
      <c r="AV70" s="666"/>
      <c r="AW70" s="666"/>
      <c r="AX70" s="666"/>
      <c r="AY70" s="666"/>
      <c r="AZ70" s="666"/>
    </row>
    <row r="71" spans="1:52" ht="12.75" customHeight="1" x14ac:dyDescent="0.2">
      <c r="A71" s="706">
        <f>'Kalkulation Herstellungskosten'!B146</f>
        <v>0</v>
      </c>
      <c r="B71" s="674">
        <f>'Kalkulation Herstellungskosten'!G146</f>
        <v>0</v>
      </c>
      <c r="C71" s="666"/>
      <c r="D71" s="86"/>
      <c r="E71" s="86"/>
      <c r="F71" s="86"/>
      <c r="G71" s="687">
        <f t="shared" si="6"/>
        <v>0</v>
      </c>
      <c r="H71" s="86"/>
      <c r="I71" s="86"/>
      <c r="J71" s="687">
        <f t="shared" si="7"/>
        <v>0</v>
      </c>
      <c r="K71" s="86"/>
      <c r="L71" s="86"/>
      <c r="M71" s="86"/>
      <c r="N71" s="86"/>
      <c r="O71" s="86"/>
      <c r="P71" s="86"/>
      <c r="Q71" s="86"/>
      <c r="R71" s="86"/>
      <c r="S71" s="86"/>
      <c r="T71" s="687">
        <f t="shared" si="5"/>
        <v>0</v>
      </c>
      <c r="U71" s="666"/>
      <c r="V71" s="666"/>
      <c r="W71" s="666"/>
      <c r="X71" s="666"/>
      <c r="Y71" s="666"/>
      <c r="Z71" s="666"/>
      <c r="AA71" s="666"/>
      <c r="AB71" s="666"/>
      <c r="AC71" s="666"/>
      <c r="AD71" s="666"/>
      <c r="AE71" s="666"/>
      <c r="AF71" s="666"/>
      <c r="AG71" s="666"/>
      <c r="AH71" s="666"/>
      <c r="AI71" s="666"/>
      <c r="AJ71" s="666"/>
      <c r="AK71" s="666"/>
      <c r="AL71" s="666"/>
      <c r="AM71" s="666"/>
      <c r="AN71" s="666"/>
      <c r="AO71" s="666"/>
      <c r="AP71" s="666"/>
      <c r="AQ71" s="666"/>
      <c r="AR71" s="666"/>
      <c r="AS71" s="666"/>
      <c r="AT71" s="666"/>
      <c r="AU71" s="666"/>
      <c r="AV71" s="666"/>
      <c r="AW71" s="666"/>
      <c r="AX71" s="666"/>
      <c r="AY71" s="666"/>
      <c r="AZ71" s="666"/>
    </row>
    <row r="72" spans="1:52" ht="12.75" customHeight="1" x14ac:dyDescent="0.2">
      <c r="A72" s="706">
        <f>'Kalkulation Herstellungskosten'!B147</f>
        <v>0</v>
      </c>
      <c r="B72" s="674">
        <f>'Kalkulation Herstellungskosten'!G147</f>
        <v>0</v>
      </c>
      <c r="C72" s="666"/>
      <c r="D72" s="86"/>
      <c r="E72" s="86"/>
      <c r="F72" s="86"/>
      <c r="G72" s="687">
        <f t="shared" si="6"/>
        <v>0</v>
      </c>
      <c r="H72" s="86"/>
      <c r="I72" s="86"/>
      <c r="J72" s="687">
        <f t="shared" si="7"/>
        <v>0</v>
      </c>
      <c r="K72" s="86"/>
      <c r="L72" s="86"/>
      <c r="M72" s="86"/>
      <c r="N72" s="86"/>
      <c r="O72" s="86"/>
      <c r="P72" s="86"/>
      <c r="Q72" s="86"/>
      <c r="R72" s="86"/>
      <c r="S72" s="86"/>
      <c r="T72" s="687">
        <f t="shared" si="5"/>
        <v>0</v>
      </c>
      <c r="U72" s="666"/>
      <c r="V72" s="666"/>
      <c r="W72" s="666"/>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6"/>
      <c r="AV72" s="666"/>
      <c r="AW72" s="666"/>
      <c r="AX72" s="666"/>
      <c r="AY72" s="666"/>
      <c r="AZ72" s="666"/>
    </row>
    <row r="73" spans="1:52" ht="12.75" customHeight="1" x14ac:dyDescent="0.2">
      <c r="A73" s="706">
        <f>'Kalkulation Herstellungskosten'!B148</f>
        <v>0</v>
      </c>
      <c r="B73" s="674">
        <f>'Kalkulation Herstellungskosten'!G148</f>
        <v>0</v>
      </c>
      <c r="C73" s="666"/>
      <c r="D73" s="86"/>
      <c r="E73" s="86"/>
      <c r="F73" s="86"/>
      <c r="G73" s="687">
        <f t="shared" si="6"/>
        <v>0</v>
      </c>
      <c r="H73" s="86"/>
      <c r="I73" s="86"/>
      <c r="J73" s="687">
        <f t="shared" si="7"/>
        <v>0</v>
      </c>
      <c r="K73" s="86"/>
      <c r="L73" s="86"/>
      <c r="M73" s="86"/>
      <c r="N73" s="86"/>
      <c r="O73" s="86"/>
      <c r="P73" s="86"/>
      <c r="Q73" s="86"/>
      <c r="R73" s="86"/>
      <c r="S73" s="86"/>
      <c r="T73" s="687">
        <f t="shared" si="5"/>
        <v>0</v>
      </c>
      <c r="U73" s="666"/>
      <c r="V73" s="666"/>
      <c r="W73" s="666"/>
      <c r="X73" s="666"/>
      <c r="Y73" s="666"/>
      <c r="Z73" s="666"/>
      <c r="AA73" s="666"/>
      <c r="AB73" s="666"/>
      <c r="AC73" s="666"/>
      <c r="AD73" s="666"/>
      <c r="AE73" s="666"/>
      <c r="AF73" s="666"/>
      <c r="AG73" s="666"/>
      <c r="AH73" s="666"/>
      <c r="AI73" s="666"/>
      <c r="AJ73" s="666"/>
      <c r="AK73" s="666"/>
      <c r="AL73" s="666"/>
      <c r="AM73" s="666"/>
      <c r="AN73" s="666"/>
      <c r="AO73" s="666"/>
      <c r="AP73" s="666"/>
      <c r="AQ73" s="666"/>
      <c r="AR73" s="666"/>
      <c r="AS73" s="666"/>
      <c r="AT73" s="666"/>
      <c r="AU73" s="666"/>
      <c r="AV73" s="666"/>
      <c r="AW73" s="666"/>
      <c r="AX73" s="666"/>
      <c r="AY73" s="666"/>
      <c r="AZ73" s="666"/>
    </row>
    <row r="74" spans="1:52" ht="12.75" customHeight="1" x14ac:dyDescent="0.2">
      <c r="A74" s="706">
        <f>'Kalkulation Herstellungskosten'!B149</f>
        <v>0</v>
      </c>
      <c r="B74" s="674">
        <f>'Kalkulation Herstellungskosten'!G149</f>
        <v>0</v>
      </c>
      <c r="C74" s="666"/>
      <c r="D74" s="86"/>
      <c r="E74" s="86"/>
      <c r="F74" s="86"/>
      <c r="G74" s="687">
        <f t="shared" si="6"/>
        <v>0</v>
      </c>
      <c r="H74" s="86"/>
      <c r="I74" s="86"/>
      <c r="J74" s="687">
        <f t="shared" si="7"/>
        <v>0</v>
      </c>
      <c r="K74" s="86"/>
      <c r="L74" s="86"/>
      <c r="M74" s="86"/>
      <c r="N74" s="86"/>
      <c r="O74" s="86"/>
      <c r="P74" s="86"/>
      <c r="Q74" s="86"/>
      <c r="R74" s="86"/>
      <c r="S74" s="86"/>
      <c r="T74" s="687">
        <f t="shared" si="5"/>
        <v>0</v>
      </c>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row>
    <row r="75" spans="1:52" ht="12.75" customHeight="1" x14ac:dyDescent="0.2">
      <c r="A75" s="706">
        <f>'Kalkulation Herstellungskosten'!B150</f>
        <v>0</v>
      </c>
      <c r="B75" s="674">
        <f>'Kalkulation Herstellungskosten'!G150</f>
        <v>0</v>
      </c>
      <c r="C75" s="666"/>
      <c r="D75" s="86"/>
      <c r="E75" s="86"/>
      <c r="F75" s="86"/>
      <c r="G75" s="687">
        <f t="shared" si="6"/>
        <v>0</v>
      </c>
      <c r="H75" s="86"/>
      <c r="I75" s="86"/>
      <c r="J75" s="687">
        <f t="shared" si="7"/>
        <v>0</v>
      </c>
      <c r="K75" s="86"/>
      <c r="L75" s="86"/>
      <c r="M75" s="86"/>
      <c r="N75" s="86"/>
      <c r="O75" s="86"/>
      <c r="P75" s="86"/>
      <c r="Q75" s="86"/>
      <c r="R75" s="86"/>
      <c r="S75" s="86"/>
      <c r="T75" s="687">
        <f t="shared" si="5"/>
        <v>0</v>
      </c>
      <c r="U75" s="666"/>
      <c r="V75" s="666"/>
      <c r="W75" s="666"/>
      <c r="X75" s="666"/>
      <c r="Y75" s="666"/>
      <c r="Z75" s="666"/>
      <c r="AA75" s="666"/>
      <c r="AB75" s="666"/>
      <c r="AC75" s="666"/>
      <c r="AD75" s="666"/>
      <c r="AE75" s="666"/>
      <c r="AF75" s="666"/>
      <c r="AG75" s="666"/>
      <c r="AH75" s="666"/>
      <c r="AI75" s="666"/>
      <c r="AJ75" s="666"/>
      <c r="AK75" s="666"/>
      <c r="AL75" s="666"/>
      <c r="AM75" s="666"/>
      <c r="AN75" s="666"/>
      <c r="AO75" s="666"/>
      <c r="AP75" s="666"/>
      <c r="AQ75" s="666"/>
      <c r="AR75" s="666"/>
      <c r="AS75" s="666"/>
      <c r="AT75" s="666"/>
      <c r="AU75" s="666"/>
      <c r="AV75" s="666"/>
      <c r="AW75" s="666"/>
      <c r="AX75" s="666"/>
      <c r="AY75" s="666"/>
      <c r="AZ75" s="666"/>
    </row>
    <row r="76" spans="1:52" ht="12.75" customHeight="1" x14ac:dyDescent="0.2">
      <c r="A76" s="706">
        <f>'Kalkulation Herstellungskosten'!B151</f>
        <v>0</v>
      </c>
      <c r="B76" s="674">
        <f>'Kalkulation Herstellungskosten'!G151</f>
        <v>0</v>
      </c>
      <c r="C76" s="666"/>
      <c r="D76" s="86"/>
      <c r="E76" s="86"/>
      <c r="F76" s="86"/>
      <c r="G76" s="687">
        <f t="shared" si="6"/>
        <v>0</v>
      </c>
      <c r="H76" s="86"/>
      <c r="I76" s="86"/>
      <c r="J76" s="687">
        <f t="shared" si="7"/>
        <v>0</v>
      </c>
      <c r="K76" s="86"/>
      <c r="L76" s="86"/>
      <c r="M76" s="86"/>
      <c r="N76" s="86"/>
      <c r="O76" s="86"/>
      <c r="P76" s="86"/>
      <c r="Q76" s="86"/>
      <c r="R76" s="86"/>
      <c r="S76" s="86"/>
      <c r="T76" s="687">
        <f t="shared" si="5"/>
        <v>0</v>
      </c>
      <c r="U76" s="666"/>
      <c r="V76" s="666"/>
      <c r="W76" s="666"/>
      <c r="X76" s="666"/>
      <c r="Y76" s="666"/>
      <c r="Z76" s="666"/>
      <c r="AA76" s="666"/>
      <c r="AB76" s="666"/>
      <c r="AC76" s="666"/>
      <c r="AD76" s="666"/>
      <c r="AE76" s="666"/>
      <c r="AF76" s="666"/>
      <c r="AG76" s="666"/>
      <c r="AH76" s="666"/>
      <c r="AI76" s="666"/>
      <c r="AJ76" s="666"/>
      <c r="AK76" s="666"/>
      <c r="AL76" s="666"/>
      <c r="AM76" s="666"/>
      <c r="AN76" s="666"/>
      <c r="AO76" s="666"/>
      <c r="AP76" s="666"/>
      <c r="AQ76" s="666"/>
      <c r="AR76" s="666"/>
      <c r="AS76" s="666"/>
      <c r="AT76" s="666"/>
      <c r="AU76" s="666"/>
      <c r="AV76" s="666"/>
      <c r="AW76" s="666"/>
      <c r="AX76" s="666"/>
      <c r="AY76" s="666"/>
      <c r="AZ76" s="666"/>
    </row>
    <row r="77" spans="1:52" ht="12.75" customHeight="1" x14ac:dyDescent="0.2">
      <c r="A77" s="706">
        <f>'Kalkulation Herstellungskosten'!B152</f>
        <v>0</v>
      </c>
      <c r="B77" s="674">
        <f>'Kalkulation Herstellungskosten'!G152</f>
        <v>0</v>
      </c>
      <c r="C77" s="666"/>
      <c r="D77" s="86"/>
      <c r="E77" s="86"/>
      <c r="F77" s="86"/>
      <c r="G77" s="687">
        <f t="shared" si="6"/>
        <v>0</v>
      </c>
      <c r="H77" s="86"/>
      <c r="I77" s="86"/>
      <c r="J77" s="687">
        <f t="shared" si="7"/>
        <v>0</v>
      </c>
      <c r="K77" s="86"/>
      <c r="L77" s="86"/>
      <c r="M77" s="86"/>
      <c r="N77" s="86"/>
      <c r="O77" s="86"/>
      <c r="P77" s="86"/>
      <c r="Q77" s="86"/>
      <c r="R77" s="86"/>
      <c r="S77" s="86"/>
      <c r="T77" s="687">
        <f t="shared" si="5"/>
        <v>0</v>
      </c>
      <c r="U77" s="666"/>
      <c r="V77" s="666"/>
      <c r="W77" s="666"/>
      <c r="X77" s="666"/>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6"/>
      <c r="AV77" s="666"/>
      <c r="AW77" s="666"/>
      <c r="AX77" s="666"/>
      <c r="AY77" s="666"/>
      <c r="AZ77" s="666"/>
    </row>
    <row r="78" spans="1:52" ht="12.75" customHeight="1" x14ac:dyDescent="0.2">
      <c r="A78" s="706">
        <f>'Kalkulation Herstellungskosten'!B153</f>
        <v>0</v>
      </c>
      <c r="B78" s="674">
        <f>'Kalkulation Herstellungskosten'!G153</f>
        <v>0</v>
      </c>
      <c r="C78" s="666"/>
      <c r="D78" s="86"/>
      <c r="E78" s="86"/>
      <c r="F78" s="86"/>
      <c r="G78" s="687">
        <f t="shared" si="6"/>
        <v>0</v>
      </c>
      <c r="H78" s="86"/>
      <c r="I78" s="86"/>
      <c r="J78" s="687">
        <f t="shared" si="7"/>
        <v>0</v>
      </c>
      <c r="K78" s="86"/>
      <c r="L78" s="86"/>
      <c r="M78" s="86"/>
      <c r="N78" s="86"/>
      <c r="O78" s="86"/>
      <c r="P78" s="86"/>
      <c r="Q78" s="86"/>
      <c r="R78" s="86"/>
      <c r="S78" s="86"/>
      <c r="T78" s="687">
        <f t="shared" si="5"/>
        <v>0</v>
      </c>
      <c r="U78" s="666"/>
      <c r="V78" s="666"/>
      <c r="W78" s="666"/>
      <c r="X78" s="666"/>
      <c r="Y78" s="666"/>
      <c r="Z78" s="666"/>
      <c r="AA78" s="666"/>
      <c r="AB78" s="666"/>
      <c r="AC78" s="666"/>
      <c r="AD78" s="666"/>
      <c r="AE78" s="666"/>
      <c r="AF78" s="666"/>
      <c r="AG78" s="666"/>
      <c r="AH78" s="666"/>
      <c r="AI78" s="666"/>
      <c r="AJ78" s="666"/>
      <c r="AK78" s="666"/>
      <c r="AL78" s="666"/>
      <c r="AM78" s="666"/>
      <c r="AN78" s="666"/>
      <c r="AO78" s="666"/>
      <c r="AP78" s="666"/>
      <c r="AQ78" s="666"/>
      <c r="AR78" s="666"/>
      <c r="AS78" s="666"/>
      <c r="AT78" s="666"/>
      <c r="AU78" s="666"/>
      <c r="AV78" s="666"/>
      <c r="AW78" s="666"/>
      <c r="AX78" s="666"/>
      <c r="AY78" s="666"/>
      <c r="AZ78" s="666"/>
    </row>
    <row r="79" spans="1:52" ht="12.75" customHeight="1" x14ac:dyDescent="0.2">
      <c r="A79" s="706">
        <f>'Kalkulation Herstellungskosten'!B154</f>
        <v>0</v>
      </c>
      <c r="B79" s="674">
        <f>'Kalkulation Herstellungskosten'!G154</f>
        <v>0</v>
      </c>
      <c r="C79" s="666"/>
      <c r="D79" s="86"/>
      <c r="E79" s="86"/>
      <c r="F79" s="86"/>
      <c r="G79" s="687">
        <f t="shared" si="6"/>
        <v>0</v>
      </c>
      <c r="H79" s="86"/>
      <c r="I79" s="86"/>
      <c r="J79" s="687">
        <f t="shared" si="7"/>
        <v>0</v>
      </c>
      <c r="K79" s="86"/>
      <c r="L79" s="86"/>
      <c r="M79" s="86"/>
      <c r="N79" s="86"/>
      <c r="O79" s="86"/>
      <c r="P79" s="86"/>
      <c r="Q79" s="86"/>
      <c r="R79" s="86"/>
      <c r="S79" s="86"/>
      <c r="T79" s="687">
        <f t="shared" si="5"/>
        <v>0</v>
      </c>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row>
    <row r="80" spans="1:52" ht="12.75" customHeight="1" x14ac:dyDescent="0.2">
      <c r="A80" s="706">
        <f>'Kalkulation Herstellungskosten'!B155</f>
        <v>0</v>
      </c>
      <c r="B80" s="674">
        <f>'Kalkulation Herstellungskosten'!G155</f>
        <v>0</v>
      </c>
      <c r="C80" s="666"/>
      <c r="D80" s="86"/>
      <c r="E80" s="86"/>
      <c r="F80" s="86"/>
      <c r="G80" s="687">
        <f t="shared" ref="G80:G121" si="8">E80*F80</f>
        <v>0</v>
      </c>
      <c r="H80" s="86"/>
      <c r="I80" s="86"/>
      <c r="J80" s="687">
        <f t="shared" ref="J80:J121" si="9">H80*I80</f>
        <v>0</v>
      </c>
      <c r="K80" s="86"/>
      <c r="L80" s="86"/>
      <c r="M80" s="86"/>
      <c r="N80" s="86"/>
      <c r="O80" s="86"/>
      <c r="P80" s="86"/>
      <c r="Q80" s="86"/>
      <c r="R80" s="86"/>
      <c r="S80" s="86"/>
      <c r="T80" s="687">
        <f t="shared" ref="T80:T121" si="10">R80*S80</f>
        <v>0</v>
      </c>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row>
    <row r="81" spans="1:52" ht="12.75" customHeight="1" x14ac:dyDescent="0.2">
      <c r="A81" s="706">
        <f>'Kalkulation Herstellungskosten'!B156</f>
        <v>0</v>
      </c>
      <c r="B81" s="674">
        <f>'Kalkulation Herstellungskosten'!G156</f>
        <v>0</v>
      </c>
      <c r="C81" s="666"/>
      <c r="D81" s="86"/>
      <c r="E81" s="86"/>
      <c r="F81" s="86"/>
      <c r="G81" s="687">
        <f t="shared" si="8"/>
        <v>0</v>
      </c>
      <c r="H81" s="86"/>
      <c r="I81" s="86"/>
      <c r="J81" s="687">
        <f t="shared" si="9"/>
        <v>0</v>
      </c>
      <c r="K81" s="86"/>
      <c r="L81" s="86"/>
      <c r="M81" s="86"/>
      <c r="N81" s="86"/>
      <c r="O81" s="86"/>
      <c r="P81" s="86"/>
      <c r="Q81" s="86"/>
      <c r="R81" s="86"/>
      <c r="S81" s="86"/>
      <c r="T81" s="687">
        <f t="shared" si="10"/>
        <v>0</v>
      </c>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6"/>
    </row>
    <row r="82" spans="1:52" ht="12.75" customHeight="1" x14ac:dyDescent="0.2">
      <c r="A82" s="706">
        <f>'Kalkulation Herstellungskosten'!B157</f>
        <v>0</v>
      </c>
      <c r="B82" s="674">
        <f>'Kalkulation Herstellungskosten'!G157</f>
        <v>0</v>
      </c>
      <c r="C82" s="666"/>
      <c r="D82" s="86"/>
      <c r="E82" s="86"/>
      <c r="F82" s="86"/>
      <c r="G82" s="687">
        <f t="shared" si="8"/>
        <v>0</v>
      </c>
      <c r="H82" s="86"/>
      <c r="I82" s="86"/>
      <c r="J82" s="687">
        <f t="shared" si="9"/>
        <v>0</v>
      </c>
      <c r="K82" s="86"/>
      <c r="L82" s="86"/>
      <c r="M82" s="86"/>
      <c r="N82" s="86"/>
      <c r="O82" s="86"/>
      <c r="P82" s="86"/>
      <c r="Q82" s="86"/>
      <c r="R82" s="86"/>
      <c r="S82" s="86"/>
      <c r="T82" s="687">
        <f t="shared" si="10"/>
        <v>0</v>
      </c>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row>
    <row r="83" spans="1:52" ht="12.75" customHeight="1" x14ac:dyDescent="0.2">
      <c r="A83" s="706">
        <f>'Kalkulation Herstellungskosten'!B158</f>
        <v>0</v>
      </c>
      <c r="B83" s="674">
        <f>'Kalkulation Herstellungskosten'!G158</f>
        <v>0</v>
      </c>
      <c r="C83" s="666"/>
      <c r="D83" s="86"/>
      <c r="E83" s="86"/>
      <c r="F83" s="86"/>
      <c r="G83" s="687">
        <f t="shared" si="8"/>
        <v>0</v>
      </c>
      <c r="H83" s="86"/>
      <c r="I83" s="86"/>
      <c r="J83" s="687">
        <f t="shared" si="9"/>
        <v>0</v>
      </c>
      <c r="K83" s="86"/>
      <c r="L83" s="86"/>
      <c r="M83" s="86"/>
      <c r="N83" s="86"/>
      <c r="O83" s="86"/>
      <c r="P83" s="86"/>
      <c r="Q83" s="86"/>
      <c r="R83" s="86"/>
      <c r="S83" s="86"/>
      <c r="T83" s="687">
        <f t="shared" si="10"/>
        <v>0</v>
      </c>
      <c r="U83" s="666"/>
      <c r="V83" s="666"/>
      <c r="W83" s="666"/>
      <c r="X83" s="666"/>
      <c r="Y83" s="666"/>
      <c r="Z83" s="666"/>
      <c r="AA83" s="666"/>
      <c r="AB83" s="666"/>
      <c r="AC83" s="666"/>
      <c r="AD83" s="666"/>
      <c r="AE83" s="666"/>
      <c r="AF83" s="666"/>
      <c r="AG83" s="666"/>
      <c r="AH83" s="666"/>
      <c r="AI83" s="666"/>
      <c r="AJ83" s="666"/>
      <c r="AK83" s="666"/>
      <c r="AL83" s="666"/>
      <c r="AM83" s="666"/>
      <c r="AN83" s="666"/>
      <c r="AO83" s="666"/>
      <c r="AP83" s="666"/>
      <c r="AQ83" s="666"/>
      <c r="AR83" s="666"/>
      <c r="AS83" s="666"/>
      <c r="AT83" s="666"/>
      <c r="AU83" s="666"/>
      <c r="AV83" s="666"/>
      <c r="AW83" s="666"/>
      <c r="AX83" s="666"/>
      <c r="AY83" s="666"/>
      <c r="AZ83" s="666"/>
    </row>
    <row r="84" spans="1:52" ht="12.75" customHeight="1" x14ac:dyDescent="0.2">
      <c r="A84" s="706">
        <f>'Kalkulation Herstellungskosten'!B159</f>
        <v>0</v>
      </c>
      <c r="B84" s="674">
        <f>'Kalkulation Herstellungskosten'!G159</f>
        <v>0</v>
      </c>
      <c r="C84" s="666"/>
      <c r="D84" s="86"/>
      <c r="E84" s="86"/>
      <c r="F84" s="86"/>
      <c r="G84" s="687">
        <f t="shared" si="8"/>
        <v>0</v>
      </c>
      <c r="H84" s="86"/>
      <c r="I84" s="86"/>
      <c r="J84" s="687">
        <f t="shared" si="9"/>
        <v>0</v>
      </c>
      <c r="K84" s="86"/>
      <c r="L84" s="86"/>
      <c r="M84" s="86"/>
      <c r="N84" s="86"/>
      <c r="O84" s="86"/>
      <c r="P84" s="86"/>
      <c r="Q84" s="86"/>
      <c r="R84" s="86"/>
      <c r="S84" s="86"/>
      <c r="T84" s="687">
        <f t="shared" si="10"/>
        <v>0</v>
      </c>
      <c r="U84" s="666"/>
      <c r="V84" s="666"/>
      <c r="W84" s="666"/>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6"/>
    </row>
    <row r="85" spans="1:52" ht="12.75" customHeight="1" x14ac:dyDescent="0.2">
      <c r="A85" s="706">
        <f>'Kalkulation Herstellungskosten'!B160</f>
        <v>0</v>
      </c>
      <c r="B85" s="674">
        <f>'Kalkulation Herstellungskosten'!G160</f>
        <v>0</v>
      </c>
      <c r="C85" s="666"/>
      <c r="D85" s="86"/>
      <c r="E85" s="86"/>
      <c r="F85" s="86"/>
      <c r="G85" s="687">
        <f t="shared" si="8"/>
        <v>0</v>
      </c>
      <c r="H85" s="86"/>
      <c r="I85" s="86"/>
      <c r="J85" s="687">
        <f t="shared" si="9"/>
        <v>0</v>
      </c>
      <c r="K85" s="86"/>
      <c r="L85" s="86"/>
      <c r="M85" s="86"/>
      <c r="N85" s="86"/>
      <c r="O85" s="86"/>
      <c r="P85" s="86"/>
      <c r="Q85" s="86"/>
      <c r="R85" s="86"/>
      <c r="S85" s="86"/>
      <c r="T85" s="687">
        <f t="shared" si="10"/>
        <v>0</v>
      </c>
      <c r="U85" s="666"/>
      <c r="V85" s="666"/>
      <c r="W85" s="666"/>
      <c r="X85" s="666"/>
      <c r="Y85" s="666"/>
      <c r="Z85" s="666"/>
      <c r="AA85" s="666"/>
      <c r="AB85" s="666"/>
      <c r="AC85" s="666"/>
      <c r="AD85" s="666"/>
      <c r="AE85" s="666"/>
      <c r="AF85" s="666"/>
      <c r="AG85" s="666"/>
      <c r="AH85" s="666"/>
      <c r="AI85" s="666"/>
      <c r="AJ85" s="666"/>
      <c r="AK85" s="666"/>
      <c r="AL85" s="666"/>
      <c r="AM85" s="666"/>
      <c r="AN85" s="666"/>
      <c r="AO85" s="666"/>
      <c r="AP85" s="666"/>
      <c r="AQ85" s="666"/>
      <c r="AR85" s="666"/>
      <c r="AS85" s="666"/>
      <c r="AT85" s="666"/>
      <c r="AU85" s="666"/>
      <c r="AV85" s="666"/>
      <c r="AW85" s="666"/>
      <c r="AX85" s="666"/>
      <c r="AY85" s="666"/>
      <c r="AZ85" s="666"/>
    </row>
    <row r="86" spans="1:52" ht="12.75" customHeight="1" x14ac:dyDescent="0.2">
      <c r="A86" s="706">
        <f>'Kalkulation Herstellungskosten'!B161</f>
        <v>0</v>
      </c>
      <c r="B86" s="674">
        <f>'Kalkulation Herstellungskosten'!G161</f>
        <v>0</v>
      </c>
      <c r="C86" s="666"/>
      <c r="D86" s="86"/>
      <c r="E86" s="86"/>
      <c r="F86" s="86"/>
      <c r="G86" s="687">
        <f t="shared" si="8"/>
        <v>0</v>
      </c>
      <c r="H86" s="86"/>
      <c r="I86" s="86"/>
      <c r="J86" s="687">
        <f t="shared" si="9"/>
        <v>0</v>
      </c>
      <c r="K86" s="86"/>
      <c r="L86" s="86"/>
      <c r="M86" s="86"/>
      <c r="N86" s="86"/>
      <c r="O86" s="86"/>
      <c r="P86" s="86"/>
      <c r="Q86" s="86"/>
      <c r="R86" s="86"/>
      <c r="S86" s="86"/>
      <c r="T86" s="687">
        <f t="shared" si="10"/>
        <v>0</v>
      </c>
      <c r="U86" s="666"/>
      <c r="V86" s="666"/>
      <c r="W86" s="666"/>
      <c r="X86" s="666"/>
      <c r="Y86" s="666"/>
      <c r="Z86" s="666"/>
      <c r="AA86" s="666"/>
      <c r="AB86" s="666"/>
      <c r="AC86" s="666"/>
      <c r="AD86" s="666"/>
      <c r="AE86" s="666"/>
      <c r="AF86" s="666"/>
      <c r="AG86" s="666"/>
      <c r="AH86" s="666"/>
      <c r="AI86" s="666"/>
      <c r="AJ86" s="666"/>
      <c r="AK86" s="666"/>
      <c r="AL86" s="666"/>
      <c r="AM86" s="666"/>
      <c r="AN86" s="666"/>
      <c r="AO86" s="666"/>
      <c r="AP86" s="666"/>
      <c r="AQ86" s="666"/>
      <c r="AR86" s="666"/>
      <c r="AS86" s="666"/>
      <c r="AT86" s="666"/>
      <c r="AU86" s="666"/>
      <c r="AV86" s="666"/>
      <c r="AW86" s="666"/>
      <c r="AX86" s="666"/>
      <c r="AY86" s="666"/>
      <c r="AZ86" s="666"/>
    </row>
    <row r="87" spans="1:52" ht="12.75" customHeight="1" x14ac:dyDescent="0.2">
      <c r="A87" s="706">
        <f>'Kalkulation Herstellungskosten'!B162</f>
        <v>0</v>
      </c>
      <c r="B87" s="674">
        <f>'Kalkulation Herstellungskosten'!G162</f>
        <v>0</v>
      </c>
      <c r="C87" s="666"/>
      <c r="D87" s="86"/>
      <c r="E87" s="86"/>
      <c r="F87" s="86"/>
      <c r="G87" s="687">
        <f t="shared" si="8"/>
        <v>0</v>
      </c>
      <c r="H87" s="86"/>
      <c r="I87" s="86"/>
      <c r="J87" s="687">
        <f t="shared" si="9"/>
        <v>0</v>
      </c>
      <c r="K87" s="86"/>
      <c r="L87" s="86"/>
      <c r="M87" s="86"/>
      <c r="N87" s="86"/>
      <c r="O87" s="86"/>
      <c r="P87" s="86"/>
      <c r="Q87" s="86"/>
      <c r="R87" s="86"/>
      <c r="S87" s="86"/>
      <c r="T87" s="687">
        <f t="shared" si="10"/>
        <v>0</v>
      </c>
      <c r="U87" s="666"/>
      <c r="V87" s="666"/>
      <c r="W87" s="666"/>
      <c r="X87" s="666"/>
      <c r="Y87" s="666"/>
      <c r="Z87" s="666"/>
      <c r="AA87" s="666"/>
      <c r="AB87" s="666"/>
      <c r="AC87" s="666"/>
      <c r="AD87" s="666"/>
      <c r="AE87" s="666"/>
      <c r="AF87" s="666"/>
      <c r="AG87" s="666"/>
      <c r="AH87" s="666"/>
      <c r="AI87" s="666"/>
      <c r="AJ87" s="666"/>
      <c r="AK87" s="666"/>
      <c r="AL87" s="666"/>
      <c r="AM87" s="666"/>
      <c r="AN87" s="666"/>
      <c r="AO87" s="666"/>
      <c r="AP87" s="666"/>
      <c r="AQ87" s="666"/>
      <c r="AR87" s="666"/>
      <c r="AS87" s="666"/>
      <c r="AT87" s="666"/>
      <c r="AU87" s="666"/>
      <c r="AV87" s="666"/>
      <c r="AW87" s="666"/>
      <c r="AX87" s="666"/>
      <c r="AY87" s="666"/>
      <c r="AZ87" s="666"/>
    </row>
    <row r="88" spans="1:52" ht="12.75" customHeight="1" x14ac:dyDescent="0.2">
      <c r="A88" s="706">
        <f>'Kalkulation Herstellungskosten'!B163</f>
        <v>0</v>
      </c>
      <c r="B88" s="674">
        <f>'Kalkulation Herstellungskosten'!G163</f>
        <v>0</v>
      </c>
      <c r="C88" s="666"/>
      <c r="D88" s="86"/>
      <c r="E88" s="86"/>
      <c r="F88" s="86"/>
      <c r="G88" s="687">
        <f t="shared" si="8"/>
        <v>0</v>
      </c>
      <c r="H88" s="86"/>
      <c r="I88" s="86"/>
      <c r="J88" s="687">
        <f t="shared" si="9"/>
        <v>0</v>
      </c>
      <c r="K88" s="86"/>
      <c r="L88" s="86"/>
      <c r="M88" s="86"/>
      <c r="N88" s="86"/>
      <c r="O88" s="86"/>
      <c r="P88" s="86"/>
      <c r="Q88" s="86"/>
      <c r="R88" s="86"/>
      <c r="S88" s="86"/>
      <c r="T88" s="687">
        <f t="shared" si="10"/>
        <v>0</v>
      </c>
      <c r="U88" s="666"/>
      <c r="V88" s="666"/>
      <c r="W88" s="666"/>
      <c r="X88" s="666"/>
      <c r="Y88" s="666"/>
      <c r="Z88" s="666"/>
      <c r="AA88" s="666"/>
      <c r="AB88" s="666"/>
      <c r="AC88" s="666"/>
      <c r="AD88" s="666"/>
      <c r="AE88" s="666"/>
      <c r="AF88" s="666"/>
      <c r="AG88" s="666"/>
      <c r="AH88" s="666"/>
      <c r="AI88" s="666"/>
      <c r="AJ88" s="666"/>
      <c r="AK88" s="666"/>
      <c r="AL88" s="666"/>
      <c r="AM88" s="666"/>
      <c r="AN88" s="666"/>
      <c r="AO88" s="666"/>
      <c r="AP88" s="666"/>
      <c r="AQ88" s="666"/>
      <c r="AR88" s="666"/>
      <c r="AS88" s="666"/>
      <c r="AT88" s="666"/>
      <c r="AU88" s="666"/>
      <c r="AV88" s="666"/>
      <c r="AW88" s="666"/>
      <c r="AX88" s="666"/>
      <c r="AY88" s="666"/>
      <c r="AZ88" s="666"/>
    </row>
    <row r="89" spans="1:52" ht="12.75" customHeight="1" x14ac:dyDescent="0.2">
      <c r="A89" s="706">
        <f>'Kalkulation Herstellungskosten'!B164</f>
        <v>0</v>
      </c>
      <c r="B89" s="674">
        <f>'Kalkulation Herstellungskosten'!G164</f>
        <v>0</v>
      </c>
      <c r="C89" s="666"/>
      <c r="D89" s="86"/>
      <c r="E89" s="86"/>
      <c r="F89" s="86"/>
      <c r="G89" s="687">
        <f t="shared" si="8"/>
        <v>0</v>
      </c>
      <c r="H89" s="86"/>
      <c r="I89" s="86"/>
      <c r="J89" s="687">
        <f t="shared" si="9"/>
        <v>0</v>
      </c>
      <c r="K89" s="86"/>
      <c r="L89" s="86"/>
      <c r="M89" s="86"/>
      <c r="N89" s="86"/>
      <c r="O89" s="86"/>
      <c r="P89" s="86"/>
      <c r="Q89" s="86"/>
      <c r="R89" s="86"/>
      <c r="S89" s="86"/>
      <c r="T89" s="687">
        <f t="shared" si="10"/>
        <v>0</v>
      </c>
      <c r="U89" s="666"/>
      <c r="V89" s="666"/>
      <c r="W89" s="666"/>
      <c r="X89" s="666"/>
      <c r="Y89" s="666"/>
      <c r="Z89" s="666"/>
      <c r="AA89" s="666"/>
      <c r="AB89" s="666"/>
      <c r="AC89" s="666"/>
      <c r="AD89" s="666"/>
      <c r="AE89" s="666"/>
      <c r="AF89" s="666"/>
      <c r="AG89" s="666"/>
      <c r="AH89" s="666"/>
      <c r="AI89" s="666"/>
      <c r="AJ89" s="666"/>
      <c r="AK89" s="666"/>
      <c r="AL89" s="666"/>
      <c r="AM89" s="666"/>
      <c r="AN89" s="666"/>
      <c r="AO89" s="666"/>
      <c r="AP89" s="666"/>
      <c r="AQ89" s="666"/>
      <c r="AR89" s="666"/>
      <c r="AS89" s="666"/>
      <c r="AT89" s="666"/>
      <c r="AU89" s="666"/>
      <c r="AV89" s="666"/>
      <c r="AW89" s="666"/>
      <c r="AX89" s="666"/>
      <c r="AY89" s="666"/>
      <c r="AZ89" s="666"/>
    </row>
    <row r="90" spans="1:52" ht="12.75" customHeight="1" x14ac:dyDescent="0.2">
      <c r="A90" s="706">
        <f>'Kalkulation Herstellungskosten'!B165</f>
        <v>0</v>
      </c>
      <c r="B90" s="674">
        <f>'Kalkulation Herstellungskosten'!G165</f>
        <v>0</v>
      </c>
      <c r="C90" s="666"/>
      <c r="D90" s="86"/>
      <c r="E90" s="86"/>
      <c r="F90" s="86"/>
      <c r="G90" s="687">
        <f t="shared" si="8"/>
        <v>0</v>
      </c>
      <c r="H90" s="86"/>
      <c r="I90" s="86"/>
      <c r="J90" s="687">
        <f t="shared" si="9"/>
        <v>0</v>
      </c>
      <c r="K90" s="86"/>
      <c r="L90" s="86"/>
      <c r="M90" s="86"/>
      <c r="N90" s="86"/>
      <c r="O90" s="86"/>
      <c r="P90" s="86"/>
      <c r="Q90" s="86"/>
      <c r="R90" s="86"/>
      <c r="S90" s="86"/>
      <c r="T90" s="687">
        <f t="shared" si="10"/>
        <v>0</v>
      </c>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row>
    <row r="91" spans="1:52" ht="12.75" customHeight="1" x14ac:dyDescent="0.2">
      <c r="A91" s="706">
        <f>'Kalkulation Herstellungskosten'!B166</f>
        <v>0</v>
      </c>
      <c r="B91" s="674">
        <f>'Kalkulation Herstellungskosten'!G166</f>
        <v>0</v>
      </c>
      <c r="C91" s="666"/>
      <c r="D91" s="86"/>
      <c r="E91" s="86"/>
      <c r="F91" s="86"/>
      <c r="G91" s="687">
        <f t="shared" si="8"/>
        <v>0</v>
      </c>
      <c r="H91" s="86"/>
      <c r="I91" s="86"/>
      <c r="J91" s="687">
        <f t="shared" si="9"/>
        <v>0</v>
      </c>
      <c r="K91" s="86"/>
      <c r="L91" s="86"/>
      <c r="M91" s="86"/>
      <c r="N91" s="86"/>
      <c r="O91" s="86"/>
      <c r="P91" s="86"/>
      <c r="Q91" s="86"/>
      <c r="R91" s="86"/>
      <c r="S91" s="86"/>
      <c r="T91" s="687">
        <f t="shared" si="10"/>
        <v>0</v>
      </c>
      <c r="U91" s="666"/>
      <c r="V91" s="666"/>
      <c r="W91" s="666"/>
      <c r="X91" s="666"/>
      <c r="Y91" s="666"/>
      <c r="Z91" s="666"/>
      <c r="AA91" s="666"/>
      <c r="AB91" s="666"/>
      <c r="AC91" s="666"/>
      <c r="AD91" s="666"/>
      <c r="AE91" s="666"/>
      <c r="AF91" s="666"/>
      <c r="AG91" s="666"/>
      <c r="AH91" s="666"/>
      <c r="AI91" s="666"/>
      <c r="AJ91" s="666"/>
      <c r="AK91" s="666"/>
      <c r="AL91" s="666"/>
      <c r="AM91" s="666"/>
      <c r="AN91" s="666"/>
      <c r="AO91" s="666"/>
      <c r="AP91" s="666"/>
      <c r="AQ91" s="666"/>
      <c r="AR91" s="666"/>
      <c r="AS91" s="666"/>
      <c r="AT91" s="666"/>
      <c r="AU91" s="666"/>
      <c r="AV91" s="666"/>
      <c r="AW91" s="666"/>
      <c r="AX91" s="666"/>
      <c r="AY91" s="666"/>
      <c r="AZ91" s="666"/>
    </row>
    <row r="92" spans="1:52" ht="12.75" customHeight="1" x14ac:dyDescent="0.2">
      <c r="A92" s="706">
        <f>'Kalkulation Herstellungskosten'!B167</f>
        <v>0</v>
      </c>
      <c r="B92" s="674">
        <f>'Kalkulation Herstellungskosten'!G167</f>
        <v>0</v>
      </c>
      <c r="C92" s="666"/>
      <c r="D92" s="86"/>
      <c r="E92" s="86"/>
      <c r="F92" s="86"/>
      <c r="G92" s="687">
        <f t="shared" si="8"/>
        <v>0</v>
      </c>
      <c r="H92" s="86"/>
      <c r="I92" s="86"/>
      <c r="J92" s="687">
        <f t="shared" si="9"/>
        <v>0</v>
      </c>
      <c r="K92" s="86"/>
      <c r="L92" s="86"/>
      <c r="M92" s="86"/>
      <c r="N92" s="86"/>
      <c r="O92" s="86"/>
      <c r="P92" s="86"/>
      <c r="Q92" s="86"/>
      <c r="R92" s="86"/>
      <c r="S92" s="86"/>
      <c r="T92" s="687">
        <f t="shared" si="10"/>
        <v>0</v>
      </c>
      <c r="U92" s="666"/>
      <c r="V92" s="666"/>
      <c r="W92" s="666"/>
      <c r="X92" s="666"/>
      <c r="Y92" s="666"/>
      <c r="Z92" s="666"/>
      <c r="AA92" s="666"/>
      <c r="AB92" s="666"/>
      <c r="AC92" s="666"/>
      <c r="AD92" s="666"/>
      <c r="AE92" s="666"/>
      <c r="AF92" s="666"/>
      <c r="AG92" s="666"/>
      <c r="AH92" s="666"/>
      <c r="AI92" s="666"/>
      <c r="AJ92" s="666"/>
      <c r="AK92" s="666"/>
      <c r="AL92" s="666"/>
      <c r="AM92" s="666"/>
      <c r="AN92" s="666"/>
      <c r="AO92" s="666"/>
      <c r="AP92" s="666"/>
      <c r="AQ92" s="666"/>
      <c r="AR92" s="666"/>
      <c r="AS92" s="666"/>
      <c r="AT92" s="666"/>
      <c r="AU92" s="666"/>
      <c r="AV92" s="666"/>
      <c r="AW92" s="666"/>
      <c r="AX92" s="666"/>
      <c r="AY92" s="666"/>
      <c r="AZ92" s="666"/>
    </row>
    <row r="93" spans="1:52" ht="12.75" customHeight="1" x14ac:dyDescent="0.2">
      <c r="A93" s="706">
        <f>'Kalkulation Herstellungskosten'!B168</f>
        <v>0</v>
      </c>
      <c r="B93" s="674">
        <f>'Kalkulation Herstellungskosten'!G168</f>
        <v>0</v>
      </c>
      <c r="C93" s="666"/>
      <c r="D93" s="86"/>
      <c r="E93" s="86"/>
      <c r="F93" s="86"/>
      <c r="G93" s="687">
        <f t="shared" si="8"/>
        <v>0</v>
      </c>
      <c r="H93" s="86"/>
      <c r="I93" s="86"/>
      <c r="J93" s="687">
        <f t="shared" si="9"/>
        <v>0</v>
      </c>
      <c r="K93" s="86"/>
      <c r="L93" s="86"/>
      <c r="M93" s="86"/>
      <c r="N93" s="86"/>
      <c r="O93" s="86"/>
      <c r="P93" s="86"/>
      <c r="Q93" s="86"/>
      <c r="R93" s="86"/>
      <c r="S93" s="86"/>
      <c r="T93" s="687">
        <f t="shared" si="10"/>
        <v>0</v>
      </c>
      <c r="U93" s="666"/>
      <c r="V93" s="666"/>
      <c r="W93" s="666"/>
      <c r="X93" s="666"/>
      <c r="Y93" s="666"/>
      <c r="Z93" s="666"/>
      <c r="AA93" s="666"/>
      <c r="AB93" s="666"/>
      <c r="AC93" s="666"/>
      <c r="AD93" s="666"/>
      <c r="AE93" s="666"/>
      <c r="AF93" s="666"/>
      <c r="AG93" s="666"/>
      <c r="AH93" s="666"/>
      <c r="AI93" s="666"/>
      <c r="AJ93" s="666"/>
      <c r="AK93" s="666"/>
      <c r="AL93" s="666"/>
      <c r="AM93" s="666"/>
      <c r="AN93" s="666"/>
      <c r="AO93" s="666"/>
      <c r="AP93" s="666"/>
      <c r="AQ93" s="666"/>
      <c r="AR93" s="666"/>
      <c r="AS93" s="666"/>
      <c r="AT93" s="666"/>
      <c r="AU93" s="666"/>
      <c r="AV93" s="666"/>
      <c r="AW93" s="666"/>
      <c r="AX93" s="666"/>
      <c r="AY93" s="666"/>
      <c r="AZ93" s="666"/>
    </row>
    <row r="94" spans="1:52" ht="12.75" customHeight="1" x14ac:dyDescent="0.2">
      <c r="A94" s="706">
        <f>'Kalkulation Herstellungskosten'!B169</f>
        <v>0</v>
      </c>
      <c r="B94" s="674">
        <f>'Kalkulation Herstellungskosten'!G169</f>
        <v>0</v>
      </c>
      <c r="C94" s="666"/>
      <c r="D94" s="86"/>
      <c r="E94" s="86"/>
      <c r="F94" s="86"/>
      <c r="G94" s="687">
        <f t="shared" si="8"/>
        <v>0</v>
      </c>
      <c r="H94" s="86"/>
      <c r="I94" s="86"/>
      <c r="J94" s="687">
        <f t="shared" si="9"/>
        <v>0</v>
      </c>
      <c r="K94" s="86"/>
      <c r="L94" s="86"/>
      <c r="M94" s="86"/>
      <c r="N94" s="86"/>
      <c r="O94" s="86"/>
      <c r="P94" s="86"/>
      <c r="Q94" s="86"/>
      <c r="R94" s="86"/>
      <c r="S94" s="86"/>
      <c r="T94" s="687">
        <f t="shared" si="10"/>
        <v>0</v>
      </c>
      <c r="U94" s="666"/>
      <c r="V94" s="666"/>
      <c r="W94" s="666"/>
      <c r="X94" s="666"/>
      <c r="Y94" s="666"/>
      <c r="Z94" s="666"/>
      <c r="AA94" s="666"/>
      <c r="AB94" s="666"/>
      <c r="AC94" s="666"/>
      <c r="AD94" s="666"/>
      <c r="AE94" s="666"/>
      <c r="AF94" s="666"/>
      <c r="AG94" s="666"/>
      <c r="AH94" s="666"/>
      <c r="AI94" s="666"/>
      <c r="AJ94" s="666"/>
      <c r="AK94" s="666"/>
      <c r="AL94" s="666"/>
      <c r="AM94" s="666"/>
      <c r="AN94" s="666"/>
      <c r="AO94" s="666"/>
      <c r="AP94" s="666"/>
      <c r="AQ94" s="666"/>
      <c r="AR94" s="666"/>
      <c r="AS94" s="666"/>
      <c r="AT94" s="666"/>
      <c r="AU94" s="666"/>
      <c r="AV94" s="666"/>
      <c r="AW94" s="666"/>
      <c r="AX94" s="666"/>
      <c r="AY94" s="666"/>
      <c r="AZ94" s="666"/>
    </row>
    <row r="95" spans="1:52" ht="12.75" customHeight="1" x14ac:dyDescent="0.2">
      <c r="A95" s="706">
        <f>'Kalkulation Herstellungskosten'!B170</f>
        <v>0</v>
      </c>
      <c r="B95" s="674">
        <f>'Kalkulation Herstellungskosten'!G170</f>
        <v>0</v>
      </c>
      <c r="C95" s="666"/>
      <c r="D95" s="86"/>
      <c r="E95" s="86"/>
      <c r="F95" s="86"/>
      <c r="G95" s="687">
        <f t="shared" si="8"/>
        <v>0</v>
      </c>
      <c r="H95" s="86"/>
      <c r="I95" s="86"/>
      <c r="J95" s="687">
        <f t="shared" si="9"/>
        <v>0</v>
      </c>
      <c r="K95" s="86"/>
      <c r="L95" s="86"/>
      <c r="M95" s="86"/>
      <c r="N95" s="86"/>
      <c r="O95" s="86"/>
      <c r="P95" s="86"/>
      <c r="Q95" s="86"/>
      <c r="R95" s="86"/>
      <c r="S95" s="86"/>
      <c r="T95" s="687">
        <f t="shared" si="10"/>
        <v>0</v>
      </c>
      <c r="U95" s="666"/>
      <c r="V95" s="666"/>
      <c r="W95" s="666"/>
      <c r="X95" s="666"/>
      <c r="Y95" s="666"/>
      <c r="Z95" s="666"/>
      <c r="AA95" s="666"/>
      <c r="AB95" s="666"/>
      <c r="AC95" s="666"/>
      <c r="AD95" s="666"/>
      <c r="AE95" s="666"/>
      <c r="AF95" s="666"/>
      <c r="AG95" s="666"/>
      <c r="AH95" s="666"/>
      <c r="AI95" s="666"/>
      <c r="AJ95" s="666"/>
      <c r="AK95" s="666"/>
      <c r="AL95" s="666"/>
      <c r="AM95" s="666"/>
      <c r="AN95" s="666"/>
      <c r="AO95" s="666"/>
      <c r="AP95" s="666"/>
      <c r="AQ95" s="666"/>
      <c r="AR95" s="666"/>
      <c r="AS95" s="666"/>
      <c r="AT95" s="666"/>
      <c r="AU95" s="666"/>
      <c r="AV95" s="666"/>
      <c r="AW95" s="666"/>
      <c r="AX95" s="666"/>
      <c r="AY95" s="666"/>
      <c r="AZ95" s="666"/>
    </row>
    <row r="96" spans="1:52" ht="12.75" customHeight="1" x14ac:dyDescent="0.2">
      <c r="A96" s="706">
        <f>'Kalkulation Herstellungskosten'!B171</f>
        <v>0</v>
      </c>
      <c r="B96" s="674">
        <f>'Kalkulation Herstellungskosten'!G171</f>
        <v>0</v>
      </c>
      <c r="C96" s="666"/>
      <c r="D96" s="86"/>
      <c r="E96" s="86"/>
      <c r="F96" s="86"/>
      <c r="G96" s="687">
        <f t="shared" si="8"/>
        <v>0</v>
      </c>
      <c r="H96" s="86"/>
      <c r="I96" s="86"/>
      <c r="J96" s="687">
        <f t="shared" si="9"/>
        <v>0</v>
      </c>
      <c r="K96" s="86"/>
      <c r="L96" s="86"/>
      <c r="M96" s="86"/>
      <c r="N96" s="86"/>
      <c r="O96" s="86"/>
      <c r="P96" s="86"/>
      <c r="Q96" s="86"/>
      <c r="R96" s="86"/>
      <c r="S96" s="86"/>
      <c r="T96" s="687">
        <f t="shared" si="10"/>
        <v>0</v>
      </c>
      <c r="U96" s="666"/>
      <c r="V96" s="666"/>
      <c r="W96" s="666"/>
      <c r="X96" s="666"/>
      <c r="Y96" s="666"/>
      <c r="Z96" s="666"/>
      <c r="AA96" s="666"/>
      <c r="AB96" s="666"/>
      <c r="AC96" s="666"/>
      <c r="AD96" s="666"/>
      <c r="AE96" s="666"/>
      <c r="AF96" s="666"/>
      <c r="AG96" s="666"/>
      <c r="AH96" s="666"/>
      <c r="AI96" s="666"/>
      <c r="AJ96" s="666"/>
      <c r="AK96" s="666"/>
      <c r="AL96" s="666"/>
      <c r="AM96" s="666"/>
      <c r="AN96" s="666"/>
      <c r="AO96" s="666"/>
      <c r="AP96" s="666"/>
      <c r="AQ96" s="666"/>
      <c r="AR96" s="666"/>
      <c r="AS96" s="666"/>
      <c r="AT96" s="666"/>
      <c r="AU96" s="666"/>
      <c r="AV96" s="666"/>
      <c r="AW96" s="666"/>
      <c r="AX96" s="666"/>
      <c r="AY96" s="666"/>
      <c r="AZ96" s="666"/>
    </row>
    <row r="97" spans="1:52" ht="12.75" customHeight="1" x14ac:dyDescent="0.2">
      <c r="A97" s="706">
        <f>'Kalkulation Herstellungskosten'!B172</f>
        <v>0</v>
      </c>
      <c r="B97" s="674">
        <f>'Kalkulation Herstellungskosten'!G172</f>
        <v>0</v>
      </c>
      <c r="C97" s="666"/>
      <c r="D97" s="86"/>
      <c r="E97" s="86"/>
      <c r="F97" s="86"/>
      <c r="G97" s="687">
        <f t="shared" si="8"/>
        <v>0</v>
      </c>
      <c r="H97" s="86"/>
      <c r="I97" s="86"/>
      <c r="J97" s="687">
        <f t="shared" si="9"/>
        <v>0</v>
      </c>
      <c r="K97" s="86"/>
      <c r="L97" s="86"/>
      <c r="M97" s="86"/>
      <c r="N97" s="86"/>
      <c r="O97" s="86"/>
      <c r="P97" s="86"/>
      <c r="Q97" s="86"/>
      <c r="R97" s="86"/>
      <c r="S97" s="86"/>
      <c r="T97" s="687">
        <f t="shared" si="10"/>
        <v>0</v>
      </c>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666"/>
      <c r="AW97" s="666"/>
      <c r="AX97" s="666"/>
      <c r="AY97" s="666"/>
      <c r="AZ97" s="666"/>
    </row>
    <row r="98" spans="1:52" ht="12.75" customHeight="1" x14ac:dyDescent="0.2">
      <c r="A98" s="706">
        <f>'Kalkulation Herstellungskosten'!B173</f>
        <v>0</v>
      </c>
      <c r="B98" s="674">
        <f>'Kalkulation Herstellungskosten'!G173</f>
        <v>0</v>
      </c>
      <c r="C98" s="666"/>
      <c r="D98" s="86"/>
      <c r="E98" s="86"/>
      <c r="F98" s="86"/>
      <c r="G98" s="687">
        <f t="shared" si="8"/>
        <v>0</v>
      </c>
      <c r="H98" s="86"/>
      <c r="I98" s="86"/>
      <c r="J98" s="687">
        <f t="shared" si="9"/>
        <v>0</v>
      </c>
      <c r="K98" s="86"/>
      <c r="L98" s="86"/>
      <c r="M98" s="86"/>
      <c r="N98" s="86"/>
      <c r="O98" s="86"/>
      <c r="P98" s="86"/>
      <c r="Q98" s="86"/>
      <c r="R98" s="86"/>
      <c r="S98" s="86"/>
      <c r="T98" s="687">
        <f t="shared" si="10"/>
        <v>0</v>
      </c>
      <c r="U98" s="666"/>
      <c r="V98" s="666"/>
      <c r="W98" s="666"/>
      <c r="X98" s="666"/>
      <c r="Y98" s="666"/>
      <c r="Z98" s="666"/>
      <c r="AA98" s="666"/>
      <c r="AB98" s="666"/>
      <c r="AC98" s="666"/>
      <c r="AD98" s="666"/>
      <c r="AE98" s="666"/>
      <c r="AF98" s="666"/>
      <c r="AG98" s="666"/>
      <c r="AH98" s="666"/>
      <c r="AI98" s="666"/>
      <c r="AJ98" s="666"/>
      <c r="AK98" s="666"/>
      <c r="AL98" s="666"/>
      <c r="AM98" s="666"/>
      <c r="AN98" s="666"/>
      <c r="AO98" s="666"/>
      <c r="AP98" s="666"/>
      <c r="AQ98" s="666"/>
      <c r="AR98" s="666"/>
      <c r="AS98" s="666"/>
      <c r="AT98" s="666"/>
      <c r="AU98" s="666"/>
      <c r="AV98" s="666"/>
      <c r="AW98" s="666"/>
      <c r="AX98" s="666"/>
      <c r="AY98" s="666"/>
      <c r="AZ98" s="666"/>
    </row>
    <row r="99" spans="1:52" ht="12.75" customHeight="1" x14ac:dyDescent="0.2">
      <c r="A99" s="706">
        <f>'Kalkulation Herstellungskosten'!B174</f>
        <v>0</v>
      </c>
      <c r="B99" s="674">
        <f>'Kalkulation Herstellungskosten'!G174</f>
        <v>0</v>
      </c>
      <c r="C99" s="666"/>
      <c r="D99" s="86"/>
      <c r="E99" s="86"/>
      <c r="F99" s="86"/>
      <c r="G99" s="687">
        <f t="shared" si="8"/>
        <v>0</v>
      </c>
      <c r="H99" s="86"/>
      <c r="I99" s="86"/>
      <c r="J99" s="687">
        <f t="shared" si="9"/>
        <v>0</v>
      </c>
      <c r="K99" s="86"/>
      <c r="L99" s="86"/>
      <c r="M99" s="86"/>
      <c r="N99" s="86"/>
      <c r="O99" s="86"/>
      <c r="P99" s="86"/>
      <c r="Q99" s="86"/>
      <c r="R99" s="86"/>
      <c r="S99" s="86"/>
      <c r="T99" s="687">
        <f t="shared" si="10"/>
        <v>0</v>
      </c>
      <c r="U99" s="666"/>
      <c r="V99" s="666"/>
      <c r="W99" s="666"/>
      <c r="X99" s="666"/>
      <c r="Y99" s="666"/>
      <c r="Z99" s="666"/>
      <c r="AA99" s="666"/>
      <c r="AB99" s="666"/>
      <c r="AC99" s="666"/>
      <c r="AD99" s="666"/>
      <c r="AE99" s="666"/>
      <c r="AF99" s="666"/>
      <c r="AG99" s="666"/>
      <c r="AH99" s="666"/>
      <c r="AI99" s="666"/>
      <c r="AJ99" s="666"/>
      <c r="AK99" s="666"/>
      <c r="AL99" s="666"/>
      <c r="AM99" s="666"/>
      <c r="AN99" s="666"/>
      <c r="AO99" s="666"/>
      <c r="AP99" s="666"/>
      <c r="AQ99" s="666"/>
      <c r="AR99" s="666"/>
      <c r="AS99" s="666"/>
      <c r="AT99" s="666"/>
      <c r="AU99" s="666"/>
      <c r="AV99" s="666"/>
      <c r="AW99" s="666"/>
      <c r="AX99" s="666"/>
      <c r="AY99" s="666"/>
      <c r="AZ99" s="666"/>
    </row>
    <row r="100" spans="1:52" ht="12.75" customHeight="1" x14ac:dyDescent="0.2">
      <c r="A100" s="706">
        <f>'Kalkulation Herstellungskosten'!B175</f>
        <v>0</v>
      </c>
      <c r="B100" s="674">
        <f>'Kalkulation Herstellungskosten'!G175</f>
        <v>0</v>
      </c>
      <c r="C100" s="666"/>
      <c r="D100" s="86"/>
      <c r="E100" s="86"/>
      <c r="F100" s="86"/>
      <c r="G100" s="687">
        <f t="shared" si="8"/>
        <v>0</v>
      </c>
      <c r="H100" s="86"/>
      <c r="I100" s="86"/>
      <c r="J100" s="687">
        <f t="shared" si="9"/>
        <v>0</v>
      </c>
      <c r="K100" s="86"/>
      <c r="L100" s="86"/>
      <c r="M100" s="86"/>
      <c r="N100" s="86"/>
      <c r="O100" s="86"/>
      <c r="P100" s="86"/>
      <c r="Q100" s="86"/>
      <c r="R100" s="86"/>
      <c r="S100" s="86"/>
      <c r="T100" s="687">
        <f t="shared" si="10"/>
        <v>0</v>
      </c>
      <c r="U100" s="666"/>
      <c r="V100" s="666"/>
      <c r="W100" s="666"/>
      <c r="X100" s="666"/>
      <c r="Y100" s="666"/>
      <c r="Z100" s="666"/>
      <c r="AA100" s="666"/>
      <c r="AB100" s="666"/>
      <c r="AC100" s="666"/>
      <c r="AD100" s="666"/>
      <c r="AE100" s="666"/>
      <c r="AF100" s="666"/>
      <c r="AG100" s="666"/>
      <c r="AH100" s="666"/>
      <c r="AI100" s="666"/>
      <c r="AJ100" s="666"/>
      <c r="AK100" s="666"/>
      <c r="AL100" s="666"/>
      <c r="AM100" s="666"/>
      <c r="AN100" s="666"/>
      <c r="AO100" s="666"/>
      <c r="AP100" s="666"/>
      <c r="AQ100" s="666"/>
      <c r="AR100" s="666"/>
      <c r="AS100" s="666"/>
      <c r="AT100" s="666"/>
      <c r="AU100" s="666"/>
      <c r="AV100" s="666"/>
      <c r="AW100" s="666"/>
      <c r="AX100" s="666"/>
      <c r="AY100" s="666"/>
      <c r="AZ100" s="666"/>
    </row>
    <row r="101" spans="1:52" ht="12.75" customHeight="1" x14ac:dyDescent="0.2">
      <c r="A101" s="706">
        <f>'Kalkulation Herstellungskosten'!B176</f>
        <v>0</v>
      </c>
      <c r="B101" s="674">
        <f>'Kalkulation Herstellungskosten'!G176</f>
        <v>0</v>
      </c>
      <c r="C101" s="666"/>
      <c r="D101" s="86"/>
      <c r="E101" s="86"/>
      <c r="F101" s="86"/>
      <c r="G101" s="687">
        <f t="shared" si="8"/>
        <v>0</v>
      </c>
      <c r="H101" s="86"/>
      <c r="I101" s="86"/>
      <c r="J101" s="687">
        <f t="shared" si="9"/>
        <v>0</v>
      </c>
      <c r="K101" s="86"/>
      <c r="L101" s="86"/>
      <c r="M101" s="86"/>
      <c r="N101" s="86"/>
      <c r="O101" s="86"/>
      <c r="P101" s="86"/>
      <c r="Q101" s="86"/>
      <c r="R101" s="86"/>
      <c r="S101" s="86"/>
      <c r="T101" s="687">
        <f t="shared" si="10"/>
        <v>0</v>
      </c>
      <c r="U101" s="666"/>
      <c r="V101" s="666"/>
      <c r="W101" s="666"/>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6"/>
      <c r="AV101" s="666"/>
      <c r="AW101" s="666"/>
      <c r="AX101" s="666"/>
      <c r="AY101" s="666"/>
      <c r="AZ101" s="666"/>
    </row>
    <row r="102" spans="1:52" ht="12.75" customHeight="1" x14ac:dyDescent="0.2">
      <c r="A102" s="706">
        <f>'Kalkulation Herstellungskosten'!B177</f>
        <v>0</v>
      </c>
      <c r="B102" s="674">
        <f>'Kalkulation Herstellungskosten'!G177</f>
        <v>0</v>
      </c>
      <c r="C102" s="666"/>
      <c r="D102" s="86"/>
      <c r="E102" s="86"/>
      <c r="F102" s="86"/>
      <c r="G102" s="687">
        <f t="shared" si="8"/>
        <v>0</v>
      </c>
      <c r="H102" s="86"/>
      <c r="I102" s="86"/>
      <c r="J102" s="687">
        <f t="shared" si="9"/>
        <v>0</v>
      </c>
      <c r="K102" s="86"/>
      <c r="L102" s="86"/>
      <c r="M102" s="86"/>
      <c r="N102" s="86"/>
      <c r="O102" s="86"/>
      <c r="P102" s="86"/>
      <c r="Q102" s="86"/>
      <c r="R102" s="86"/>
      <c r="S102" s="86"/>
      <c r="T102" s="687">
        <f t="shared" si="10"/>
        <v>0</v>
      </c>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row>
    <row r="103" spans="1:52" ht="12.75" customHeight="1" x14ac:dyDescent="0.2">
      <c r="A103" s="706">
        <f>'Kalkulation Herstellungskosten'!B178</f>
        <v>0</v>
      </c>
      <c r="B103" s="674">
        <f>'Kalkulation Herstellungskosten'!G178</f>
        <v>0</v>
      </c>
      <c r="C103" s="666"/>
      <c r="D103" s="86"/>
      <c r="E103" s="86"/>
      <c r="F103" s="86"/>
      <c r="G103" s="687">
        <f t="shared" si="8"/>
        <v>0</v>
      </c>
      <c r="H103" s="86"/>
      <c r="I103" s="86"/>
      <c r="J103" s="687">
        <f t="shared" si="9"/>
        <v>0</v>
      </c>
      <c r="K103" s="86"/>
      <c r="L103" s="86"/>
      <c r="M103" s="86"/>
      <c r="N103" s="86"/>
      <c r="O103" s="86"/>
      <c r="P103" s="86"/>
      <c r="Q103" s="86"/>
      <c r="R103" s="86"/>
      <c r="S103" s="86"/>
      <c r="T103" s="687">
        <f t="shared" si="10"/>
        <v>0</v>
      </c>
      <c r="U103" s="666"/>
      <c r="V103" s="666"/>
      <c r="W103" s="666"/>
      <c r="X103" s="666"/>
      <c r="Y103" s="666"/>
      <c r="Z103" s="666"/>
      <c r="AA103" s="666"/>
      <c r="AB103" s="666"/>
      <c r="AC103" s="666"/>
      <c r="AD103" s="666"/>
      <c r="AE103" s="666"/>
      <c r="AF103" s="666"/>
      <c r="AG103" s="666"/>
      <c r="AH103" s="666"/>
      <c r="AI103" s="666"/>
      <c r="AJ103" s="666"/>
      <c r="AK103" s="666"/>
      <c r="AL103" s="666"/>
      <c r="AM103" s="666"/>
      <c r="AN103" s="666"/>
      <c r="AO103" s="666"/>
      <c r="AP103" s="666"/>
      <c r="AQ103" s="666"/>
      <c r="AR103" s="666"/>
      <c r="AS103" s="666"/>
      <c r="AT103" s="666"/>
      <c r="AU103" s="666"/>
      <c r="AV103" s="666"/>
      <c r="AW103" s="666"/>
      <c r="AX103" s="666"/>
      <c r="AY103" s="666"/>
      <c r="AZ103" s="666"/>
    </row>
    <row r="104" spans="1:52" ht="12.75" customHeight="1" x14ac:dyDescent="0.2">
      <c r="A104" s="706">
        <f>'Kalkulation Herstellungskosten'!B179</f>
        <v>0</v>
      </c>
      <c r="B104" s="674">
        <f>'Kalkulation Herstellungskosten'!G179</f>
        <v>0</v>
      </c>
      <c r="C104" s="666"/>
      <c r="D104" s="86"/>
      <c r="E104" s="86"/>
      <c r="F104" s="86"/>
      <c r="G104" s="687">
        <f t="shared" si="8"/>
        <v>0</v>
      </c>
      <c r="H104" s="86"/>
      <c r="I104" s="86"/>
      <c r="J104" s="687">
        <f t="shared" si="9"/>
        <v>0</v>
      </c>
      <c r="K104" s="86"/>
      <c r="L104" s="86"/>
      <c r="M104" s="86"/>
      <c r="N104" s="86"/>
      <c r="O104" s="86"/>
      <c r="P104" s="86"/>
      <c r="Q104" s="86"/>
      <c r="R104" s="86"/>
      <c r="S104" s="86"/>
      <c r="T104" s="687">
        <f t="shared" si="10"/>
        <v>0</v>
      </c>
      <c r="U104" s="666"/>
      <c r="V104" s="666"/>
      <c r="W104" s="666"/>
      <c r="X104" s="666"/>
      <c r="Y104" s="666"/>
      <c r="Z104" s="666"/>
      <c r="AA104" s="666"/>
      <c r="AB104" s="666"/>
      <c r="AC104" s="666"/>
      <c r="AD104" s="666"/>
      <c r="AE104" s="666"/>
      <c r="AF104" s="666"/>
      <c r="AG104" s="666"/>
      <c r="AH104" s="666"/>
      <c r="AI104" s="666"/>
      <c r="AJ104" s="666"/>
      <c r="AK104" s="666"/>
      <c r="AL104" s="666"/>
      <c r="AM104" s="666"/>
      <c r="AN104" s="666"/>
      <c r="AO104" s="666"/>
      <c r="AP104" s="666"/>
      <c r="AQ104" s="666"/>
      <c r="AR104" s="666"/>
      <c r="AS104" s="666"/>
      <c r="AT104" s="666"/>
      <c r="AU104" s="666"/>
      <c r="AV104" s="666"/>
      <c r="AW104" s="666"/>
      <c r="AX104" s="666"/>
      <c r="AY104" s="666"/>
      <c r="AZ104" s="666"/>
    </row>
    <row r="105" spans="1:52" ht="12.75" customHeight="1" x14ac:dyDescent="0.2">
      <c r="A105" s="706">
        <f>'Kalkulation Herstellungskosten'!B180</f>
        <v>0</v>
      </c>
      <c r="B105" s="674">
        <f>'Kalkulation Herstellungskosten'!G180</f>
        <v>0</v>
      </c>
      <c r="C105" s="666"/>
      <c r="D105" s="86"/>
      <c r="E105" s="86"/>
      <c r="F105" s="86"/>
      <c r="G105" s="687">
        <f t="shared" si="8"/>
        <v>0</v>
      </c>
      <c r="H105" s="86"/>
      <c r="I105" s="86"/>
      <c r="J105" s="687">
        <f t="shared" si="9"/>
        <v>0</v>
      </c>
      <c r="K105" s="86"/>
      <c r="L105" s="86"/>
      <c r="M105" s="86"/>
      <c r="N105" s="86"/>
      <c r="O105" s="86"/>
      <c r="P105" s="86"/>
      <c r="Q105" s="86"/>
      <c r="R105" s="86"/>
      <c r="S105" s="86"/>
      <c r="T105" s="687">
        <f t="shared" si="10"/>
        <v>0</v>
      </c>
      <c r="U105" s="666"/>
      <c r="V105" s="666"/>
      <c r="W105" s="666"/>
      <c r="X105" s="666"/>
      <c r="Y105" s="666"/>
      <c r="Z105" s="666"/>
      <c r="AA105" s="666"/>
      <c r="AB105" s="666"/>
      <c r="AC105" s="666"/>
      <c r="AD105" s="666"/>
      <c r="AE105" s="666"/>
      <c r="AF105" s="666"/>
      <c r="AG105" s="666"/>
      <c r="AH105" s="666"/>
      <c r="AI105" s="666"/>
      <c r="AJ105" s="666"/>
      <c r="AK105" s="666"/>
      <c r="AL105" s="666"/>
      <c r="AM105" s="666"/>
      <c r="AN105" s="666"/>
      <c r="AO105" s="666"/>
      <c r="AP105" s="666"/>
      <c r="AQ105" s="666"/>
      <c r="AR105" s="666"/>
      <c r="AS105" s="666"/>
      <c r="AT105" s="666"/>
      <c r="AU105" s="666"/>
      <c r="AV105" s="666"/>
      <c r="AW105" s="666"/>
      <c r="AX105" s="666"/>
      <c r="AY105" s="666"/>
      <c r="AZ105" s="666"/>
    </row>
    <row r="106" spans="1:52" ht="12.75" customHeight="1" x14ac:dyDescent="0.2">
      <c r="A106" s="706">
        <f>'Kalkulation Herstellungskosten'!B181</f>
        <v>0</v>
      </c>
      <c r="B106" s="674">
        <f>'Kalkulation Herstellungskosten'!G181</f>
        <v>0</v>
      </c>
      <c r="C106" s="666"/>
      <c r="D106" s="86"/>
      <c r="E106" s="86"/>
      <c r="F106" s="86"/>
      <c r="G106" s="687">
        <f t="shared" si="8"/>
        <v>0</v>
      </c>
      <c r="H106" s="86"/>
      <c r="I106" s="86"/>
      <c r="J106" s="687">
        <f t="shared" si="9"/>
        <v>0</v>
      </c>
      <c r="K106" s="86"/>
      <c r="L106" s="86"/>
      <c r="M106" s="86"/>
      <c r="N106" s="86"/>
      <c r="O106" s="86"/>
      <c r="P106" s="86"/>
      <c r="Q106" s="86"/>
      <c r="R106" s="86"/>
      <c r="S106" s="86"/>
      <c r="T106" s="687">
        <f t="shared" si="10"/>
        <v>0</v>
      </c>
      <c r="U106" s="666"/>
      <c r="V106" s="666"/>
      <c r="W106" s="666"/>
      <c r="X106" s="666"/>
      <c r="Y106" s="666"/>
      <c r="Z106" s="666"/>
      <c r="AA106" s="666"/>
      <c r="AB106" s="666"/>
      <c r="AC106" s="666"/>
      <c r="AD106" s="666"/>
      <c r="AE106" s="666"/>
      <c r="AF106" s="666"/>
      <c r="AG106" s="666"/>
      <c r="AH106" s="666"/>
      <c r="AI106" s="666"/>
      <c r="AJ106" s="666"/>
      <c r="AK106" s="666"/>
      <c r="AL106" s="666"/>
      <c r="AM106" s="666"/>
      <c r="AN106" s="666"/>
      <c r="AO106" s="666"/>
      <c r="AP106" s="666"/>
      <c r="AQ106" s="666"/>
      <c r="AR106" s="666"/>
      <c r="AS106" s="666"/>
      <c r="AT106" s="666"/>
      <c r="AU106" s="666"/>
      <c r="AV106" s="666"/>
      <c r="AW106" s="666"/>
      <c r="AX106" s="666"/>
      <c r="AY106" s="666"/>
      <c r="AZ106" s="666"/>
    </row>
    <row r="107" spans="1:52" ht="12.75" customHeight="1" x14ac:dyDescent="0.2">
      <c r="A107" s="706">
        <f>'Kalkulation Herstellungskosten'!B182</f>
        <v>0</v>
      </c>
      <c r="B107" s="674">
        <f>'Kalkulation Herstellungskosten'!G182</f>
        <v>0</v>
      </c>
      <c r="C107" s="666"/>
      <c r="D107" s="86"/>
      <c r="E107" s="86"/>
      <c r="F107" s="86"/>
      <c r="G107" s="687">
        <f t="shared" si="8"/>
        <v>0</v>
      </c>
      <c r="H107" s="86"/>
      <c r="I107" s="86"/>
      <c r="J107" s="687">
        <f t="shared" si="9"/>
        <v>0</v>
      </c>
      <c r="K107" s="86"/>
      <c r="L107" s="86"/>
      <c r="M107" s="86"/>
      <c r="N107" s="86"/>
      <c r="O107" s="86"/>
      <c r="P107" s="86"/>
      <c r="Q107" s="86"/>
      <c r="R107" s="86"/>
      <c r="S107" s="86"/>
      <c r="T107" s="687">
        <f t="shared" si="10"/>
        <v>0</v>
      </c>
      <c r="U107" s="666"/>
      <c r="V107" s="666"/>
      <c r="W107" s="666"/>
      <c r="X107" s="666"/>
      <c r="Y107" s="666"/>
      <c r="Z107" s="666"/>
      <c r="AA107" s="666"/>
      <c r="AB107" s="666"/>
      <c r="AC107" s="666"/>
      <c r="AD107" s="666"/>
      <c r="AE107" s="666"/>
      <c r="AF107" s="666"/>
      <c r="AG107" s="666"/>
      <c r="AH107" s="666"/>
      <c r="AI107" s="666"/>
      <c r="AJ107" s="666"/>
      <c r="AK107" s="666"/>
      <c r="AL107" s="666"/>
      <c r="AM107" s="666"/>
      <c r="AN107" s="666"/>
      <c r="AO107" s="666"/>
      <c r="AP107" s="666"/>
      <c r="AQ107" s="666"/>
      <c r="AR107" s="666"/>
      <c r="AS107" s="666"/>
      <c r="AT107" s="666"/>
      <c r="AU107" s="666"/>
      <c r="AV107" s="666"/>
      <c r="AW107" s="666"/>
      <c r="AX107" s="666"/>
      <c r="AY107" s="666"/>
      <c r="AZ107" s="666"/>
    </row>
    <row r="108" spans="1:52" ht="12.75" customHeight="1" x14ac:dyDescent="0.2">
      <c r="A108" s="706">
        <f>'Kalkulation Herstellungskosten'!B183</f>
        <v>0</v>
      </c>
      <c r="B108" s="674">
        <f>'Kalkulation Herstellungskosten'!G183</f>
        <v>0</v>
      </c>
      <c r="C108" s="666"/>
      <c r="D108" s="86"/>
      <c r="E108" s="86"/>
      <c r="F108" s="86"/>
      <c r="G108" s="687">
        <f t="shared" si="8"/>
        <v>0</v>
      </c>
      <c r="H108" s="86"/>
      <c r="I108" s="86"/>
      <c r="J108" s="687">
        <f t="shared" si="9"/>
        <v>0</v>
      </c>
      <c r="K108" s="86"/>
      <c r="L108" s="86"/>
      <c r="M108" s="86"/>
      <c r="N108" s="86"/>
      <c r="O108" s="86"/>
      <c r="P108" s="86"/>
      <c r="Q108" s="86"/>
      <c r="R108" s="86"/>
      <c r="S108" s="86"/>
      <c r="T108" s="687">
        <f t="shared" si="10"/>
        <v>0</v>
      </c>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6"/>
      <c r="AV108" s="666"/>
      <c r="AW108" s="666"/>
      <c r="AX108" s="666"/>
      <c r="AY108" s="666"/>
      <c r="AZ108" s="666"/>
    </row>
    <row r="109" spans="1:52" ht="12.75" customHeight="1" x14ac:dyDescent="0.2">
      <c r="A109" s="706">
        <f>'Kalkulation Herstellungskosten'!B184</f>
        <v>0</v>
      </c>
      <c r="B109" s="674">
        <f>'Kalkulation Herstellungskosten'!G184</f>
        <v>0</v>
      </c>
      <c r="C109" s="666"/>
      <c r="D109" s="86"/>
      <c r="E109" s="86"/>
      <c r="F109" s="86"/>
      <c r="G109" s="687">
        <f t="shared" si="8"/>
        <v>0</v>
      </c>
      <c r="H109" s="86"/>
      <c r="I109" s="86"/>
      <c r="J109" s="687">
        <f t="shared" si="9"/>
        <v>0</v>
      </c>
      <c r="K109" s="86"/>
      <c r="L109" s="86"/>
      <c r="M109" s="86"/>
      <c r="N109" s="86"/>
      <c r="O109" s="86"/>
      <c r="P109" s="86"/>
      <c r="Q109" s="86"/>
      <c r="R109" s="86"/>
      <c r="S109" s="86"/>
      <c r="T109" s="687">
        <f t="shared" si="10"/>
        <v>0</v>
      </c>
      <c r="U109" s="666"/>
      <c r="V109" s="666"/>
      <c r="W109" s="666"/>
      <c r="X109" s="666"/>
      <c r="Y109" s="666"/>
      <c r="Z109" s="666"/>
      <c r="AA109" s="666"/>
      <c r="AB109" s="666"/>
      <c r="AC109" s="666"/>
      <c r="AD109" s="666"/>
      <c r="AE109" s="666"/>
      <c r="AF109" s="666"/>
      <c r="AG109" s="666"/>
      <c r="AH109" s="666"/>
      <c r="AI109" s="666"/>
      <c r="AJ109" s="666"/>
      <c r="AK109" s="666"/>
      <c r="AL109" s="666"/>
      <c r="AM109" s="666"/>
      <c r="AN109" s="666"/>
      <c r="AO109" s="666"/>
      <c r="AP109" s="666"/>
      <c r="AQ109" s="666"/>
      <c r="AR109" s="666"/>
      <c r="AS109" s="666"/>
      <c r="AT109" s="666"/>
      <c r="AU109" s="666"/>
      <c r="AV109" s="666"/>
      <c r="AW109" s="666"/>
      <c r="AX109" s="666"/>
      <c r="AY109" s="666"/>
      <c r="AZ109" s="666"/>
    </row>
    <row r="110" spans="1:52" ht="12.75" customHeight="1" x14ac:dyDescent="0.2">
      <c r="A110" s="706">
        <f>'Kalkulation Herstellungskosten'!B185</f>
        <v>0</v>
      </c>
      <c r="B110" s="674">
        <f>'Kalkulation Herstellungskosten'!G185</f>
        <v>0</v>
      </c>
      <c r="C110" s="666"/>
      <c r="D110" s="86"/>
      <c r="E110" s="86"/>
      <c r="F110" s="86"/>
      <c r="G110" s="687">
        <f t="shared" si="8"/>
        <v>0</v>
      </c>
      <c r="H110" s="86"/>
      <c r="I110" s="86"/>
      <c r="J110" s="687">
        <f t="shared" si="9"/>
        <v>0</v>
      </c>
      <c r="K110" s="86"/>
      <c r="L110" s="86"/>
      <c r="M110" s="86"/>
      <c r="N110" s="86"/>
      <c r="O110" s="86"/>
      <c r="P110" s="86"/>
      <c r="Q110" s="86"/>
      <c r="R110" s="86"/>
      <c r="S110" s="86"/>
      <c r="T110" s="687">
        <f t="shared" si="10"/>
        <v>0</v>
      </c>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row>
    <row r="111" spans="1:52" ht="12.75" customHeight="1" x14ac:dyDescent="0.2">
      <c r="A111" s="706">
        <f>'Kalkulation Herstellungskosten'!B186</f>
        <v>0</v>
      </c>
      <c r="B111" s="674">
        <f>'Kalkulation Herstellungskosten'!G186</f>
        <v>0</v>
      </c>
      <c r="C111" s="666"/>
      <c r="D111" s="86"/>
      <c r="E111" s="86"/>
      <c r="F111" s="86"/>
      <c r="G111" s="687">
        <f t="shared" si="8"/>
        <v>0</v>
      </c>
      <c r="H111" s="86"/>
      <c r="I111" s="86"/>
      <c r="J111" s="687">
        <f t="shared" si="9"/>
        <v>0</v>
      </c>
      <c r="K111" s="86"/>
      <c r="L111" s="86"/>
      <c r="M111" s="86"/>
      <c r="N111" s="86"/>
      <c r="O111" s="86"/>
      <c r="P111" s="86"/>
      <c r="Q111" s="86"/>
      <c r="R111" s="86"/>
      <c r="S111" s="86"/>
      <c r="T111" s="687">
        <f t="shared" si="10"/>
        <v>0</v>
      </c>
      <c r="U111" s="666"/>
      <c r="V111" s="666"/>
      <c r="W111" s="666"/>
      <c r="X111" s="666"/>
      <c r="Y111" s="666"/>
      <c r="Z111" s="666"/>
      <c r="AA111" s="666"/>
      <c r="AB111" s="666"/>
      <c r="AC111" s="666"/>
      <c r="AD111" s="666"/>
      <c r="AE111" s="666"/>
      <c r="AF111" s="666"/>
      <c r="AG111" s="666"/>
      <c r="AH111" s="666"/>
      <c r="AI111" s="666"/>
      <c r="AJ111" s="666"/>
      <c r="AK111" s="666"/>
      <c r="AL111" s="666"/>
      <c r="AM111" s="666"/>
      <c r="AN111" s="666"/>
      <c r="AO111" s="666"/>
      <c r="AP111" s="666"/>
      <c r="AQ111" s="666"/>
      <c r="AR111" s="666"/>
      <c r="AS111" s="666"/>
      <c r="AT111" s="666"/>
      <c r="AU111" s="666"/>
      <c r="AV111" s="666"/>
      <c r="AW111" s="666"/>
      <c r="AX111" s="666"/>
      <c r="AY111" s="666"/>
      <c r="AZ111" s="666"/>
    </row>
    <row r="112" spans="1:52" ht="12.75" customHeight="1" x14ac:dyDescent="0.2">
      <c r="A112" s="706">
        <f>'Kalkulation Herstellungskosten'!B187</f>
        <v>0</v>
      </c>
      <c r="B112" s="674">
        <f>'Kalkulation Herstellungskosten'!G187</f>
        <v>0</v>
      </c>
      <c r="C112" s="666"/>
      <c r="D112" s="86"/>
      <c r="E112" s="86"/>
      <c r="F112" s="86"/>
      <c r="G112" s="687">
        <f t="shared" si="8"/>
        <v>0</v>
      </c>
      <c r="H112" s="86"/>
      <c r="I112" s="86"/>
      <c r="J112" s="687">
        <f t="shared" si="9"/>
        <v>0</v>
      </c>
      <c r="K112" s="86"/>
      <c r="L112" s="86"/>
      <c r="M112" s="86"/>
      <c r="N112" s="86"/>
      <c r="O112" s="86"/>
      <c r="P112" s="86"/>
      <c r="Q112" s="86"/>
      <c r="R112" s="86"/>
      <c r="S112" s="86"/>
      <c r="T112" s="687">
        <f t="shared" si="10"/>
        <v>0</v>
      </c>
      <c r="U112" s="666"/>
      <c r="V112" s="666"/>
      <c r="W112" s="666"/>
      <c r="X112" s="666"/>
      <c r="Y112" s="666"/>
      <c r="Z112" s="666"/>
      <c r="AA112" s="666"/>
      <c r="AB112" s="666"/>
      <c r="AC112" s="666"/>
      <c r="AD112" s="666"/>
      <c r="AE112" s="666"/>
      <c r="AF112" s="666"/>
      <c r="AG112" s="666"/>
      <c r="AH112" s="666"/>
      <c r="AI112" s="666"/>
      <c r="AJ112" s="666"/>
      <c r="AK112" s="666"/>
      <c r="AL112" s="666"/>
      <c r="AM112" s="666"/>
      <c r="AN112" s="666"/>
      <c r="AO112" s="666"/>
      <c r="AP112" s="666"/>
      <c r="AQ112" s="666"/>
      <c r="AR112" s="666"/>
      <c r="AS112" s="666"/>
      <c r="AT112" s="666"/>
      <c r="AU112" s="666"/>
      <c r="AV112" s="666"/>
      <c r="AW112" s="666"/>
      <c r="AX112" s="666"/>
      <c r="AY112" s="666"/>
      <c r="AZ112" s="666"/>
    </row>
    <row r="113" spans="1:52" ht="12.75" customHeight="1" x14ac:dyDescent="0.2">
      <c r="A113" s="706">
        <f>'Kalkulation Herstellungskosten'!B188</f>
        <v>0</v>
      </c>
      <c r="B113" s="674">
        <f>'Kalkulation Herstellungskosten'!G188</f>
        <v>0</v>
      </c>
      <c r="C113" s="666"/>
      <c r="D113" s="86"/>
      <c r="E113" s="86"/>
      <c r="F113" s="86"/>
      <c r="G113" s="687">
        <f t="shared" si="8"/>
        <v>0</v>
      </c>
      <c r="H113" s="86"/>
      <c r="I113" s="86"/>
      <c r="J113" s="687">
        <f t="shared" si="9"/>
        <v>0</v>
      </c>
      <c r="K113" s="86"/>
      <c r="L113" s="86"/>
      <c r="M113" s="86"/>
      <c r="N113" s="86"/>
      <c r="O113" s="86"/>
      <c r="P113" s="86"/>
      <c r="Q113" s="86"/>
      <c r="R113" s="86"/>
      <c r="S113" s="86"/>
      <c r="T113" s="687">
        <f t="shared" si="10"/>
        <v>0</v>
      </c>
      <c r="U113" s="666"/>
      <c r="V113" s="666"/>
      <c r="W113" s="666"/>
      <c r="X113" s="666"/>
      <c r="Y113" s="666"/>
      <c r="Z113" s="666"/>
      <c r="AA113" s="666"/>
      <c r="AB113" s="666"/>
      <c r="AC113" s="666"/>
      <c r="AD113" s="666"/>
      <c r="AE113" s="666"/>
      <c r="AF113" s="666"/>
      <c r="AG113" s="666"/>
      <c r="AH113" s="666"/>
      <c r="AI113" s="666"/>
      <c r="AJ113" s="666"/>
      <c r="AK113" s="666"/>
      <c r="AL113" s="666"/>
      <c r="AM113" s="666"/>
      <c r="AN113" s="666"/>
      <c r="AO113" s="666"/>
      <c r="AP113" s="666"/>
      <c r="AQ113" s="666"/>
      <c r="AR113" s="666"/>
      <c r="AS113" s="666"/>
      <c r="AT113" s="666"/>
      <c r="AU113" s="666"/>
      <c r="AV113" s="666"/>
      <c r="AW113" s="666"/>
      <c r="AX113" s="666"/>
      <c r="AY113" s="666"/>
      <c r="AZ113" s="666"/>
    </row>
    <row r="114" spans="1:52" ht="12.75" customHeight="1" x14ac:dyDescent="0.2">
      <c r="A114" s="706">
        <f>'Kalkulation Herstellungskosten'!B189</f>
        <v>0</v>
      </c>
      <c r="B114" s="674">
        <f>'Kalkulation Herstellungskosten'!G189</f>
        <v>0</v>
      </c>
      <c r="C114" s="666"/>
      <c r="D114" s="86"/>
      <c r="E114" s="86"/>
      <c r="F114" s="86"/>
      <c r="G114" s="687">
        <f t="shared" si="8"/>
        <v>0</v>
      </c>
      <c r="H114" s="86"/>
      <c r="I114" s="86"/>
      <c r="J114" s="687">
        <f t="shared" si="9"/>
        <v>0</v>
      </c>
      <c r="K114" s="86"/>
      <c r="L114" s="86"/>
      <c r="M114" s="86"/>
      <c r="N114" s="86"/>
      <c r="O114" s="86"/>
      <c r="P114" s="86"/>
      <c r="Q114" s="86"/>
      <c r="R114" s="86"/>
      <c r="S114" s="86"/>
      <c r="T114" s="687">
        <f t="shared" si="10"/>
        <v>0</v>
      </c>
      <c r="U114" s="666"/>
      <c r="V114" s="666"/>
      <c r="W114" s="666"/>
      <c r="X114" s="666"/>
      <c r="Y114" s="666"/>
      <c r="Z114" s="666"/>
      <c r="AA114" s="666"/>
      <c r="AB114" s="666"/>
      <c r="AC114" s="666"/>
      <c r="AD114" s="666"/>
      <c r="AE114" s="666"/>
      <c r="AF114" s="666"/>
      <c r="AG114" s="666"/>
      <c r="AH114" s="666"/>
      <c r="AI114" s="666"/>
      <c r="AJ114" s="666"/>
      <c r="AK114" s="666"/>
      <c r="AL114" s="666"/>
      <c r="AM114" s="666"/>
      <c r="AN114" s="666"/>
      <c r="AO114" s="666"/>
      <c r="AP114" s="666"/>
      <c r="AQ114" s="666"/>
      <c r="AR114" s="666"/>
      <c r="AS114" s="666"/>
      <c r="AT114" s="666"/>
      <c r="AU114" s="666"/>
      <c r="AV114" s="666"/>
      <c r="AW114" s="666"/>
      <c r="AX114" s="666"/>
      <c r="AY114" s="666"/>
      <c r="AZ114" s="666"/>
    </row>
    <row r="115" spans="1:52" ht="12.75" customHeight="1" x14ac:dyDescent="0.2">
      <c r="A115" s="706">
        <f>'Kalkulation Herstellungskosten'!B190</f>
        <v>0</v>
      </c>
      <c r="B115" s="674">
        <f>'Kalkulation Herstellungskosten'!G190</f>
        <v>0</v>
      </c>
      <c r="C115" s="666"/>
      <c r="D115" s="86"/>
      <c r="E115" s="86"/>
      <c r="F115" s="86"/>
      <c r="G115" s="687">
        <f t="shared" si="8"/>
        <v>0</v>
      </c>
      <c r="H115" s="86"/>
      <c r="I115" s="86"/>
      <c r="J115" s="687">
        <f t="shared" si="9"/>
        <v>0</v>
      </c>
      <c r="K115" s="86"/>
      <c r="L115" s="86"/>
      <c r="M115" s="86"/>
      <c r="N115" s="86"/>
      <c r="O115" s="86"/>
      <c r="P115" s="86"/>
      <c r="Q115" s="86"/>
      <c r="R115" s="86"/>
      <c r="S115" s="86"/>
      <c r="T115" s="687">
        <f t="shared" si="10"/>
        <v>0</v>
      </c>
      <c r="U115" s="666"/>
      <c r="V115" s="666"/>
      <c r="W115" s="666"/>
      <c r="X115" s="666"/>
      <c r="Y115" s="666"/>
      <c r="Z115" s="666"/>
      <c r="AA115" s="666"/>
      <c r="AB115" s="666"/>
      <c r="AC115" s="666"/>
      <c r="AD115" s="666"/>
      <c r="AE115" s="666"/>
      <c r="AF115" s="666"/>
      <c r="AG115" s="666"/>
      <c r="AH115" s="666"/>
      <c r="AI115" s="666"/>
      <c r="AJ115" s="666"/>
      <c r="AK115" s="666"/>
      <c r="AL115" s="666"/>
      <c r="AM115" s="666"/>
      <c r="AN115" s="666"/>
      <c r="AO115" s="666"/>
      <c r="AP115" s="666"/>
      <c r="AQ115" s="666"/>
      <c r="AR115" s="666"/>
      <c r="AS115" s="666"/>
      <c r="AT115" s="666"/>
      <c r="AU115" s="666"/>
      <c r="AV115" s="666"/>
      <c r="AW115" s="666"/>
      <c r="AX115" s="666"/>
      <c r="AY115" s="666"/>
      <c r="AZ115" s="666"/>
    </row>
    <row r="116" spans="1:52" ht="12.75" customHeight="1" x14ac:dyDescent="0.2">
      <c r="A116" s="706">
        <f>'Kalkulation Herstellungskosten'!B191</f>
        <v>0</v>
      </c>
      <c r="B116" s="674">
        <f>'Kalkulation Herstellungskosten'!G191</f>
        <v>0</v>
      </c>
      <c r="C116" s="666"/>
      <c r="D116" s="86"/>
      <c r="E116" s="86"/>
      <c r="F116" s="86"/>
      <c r="G116" s="687">
        <f t="shared" si="8"/>
        <v>0</v>
      </c>
      <c r="H116" s="86"/>
      <c r="I116" s="86"/>
      <c r="J116" s="687">
        <f t="shared" si="9"/>
        <v>0</v>
      </c>
      <c r="K116" s="86"/>
      <c r="L116" s="86"/>
      <c r="M116" s="86"/>
      <c r="N116" s="86"/>
      <c r="O116" s="86"/>
      <c r="P116" s="86"/>
      <c r="Q116" s="86"/>
      <c r="R116" s="86"/>
      <c r="S116" s="86"/>
      <c r="T116" s="687">
        <f t="shared" si="10"/>
        <v>0</v>
      </c>
      <c r="U116" s="666"/>
      <c r="V116" s="666"/>
      <c r="W116" s="666"/>
      <c r="X116" s="666"/>
      <c r="Y116" s="666"/>
      <c r="Z116" s="666"/>
      <c r="AA116" s="666"/>
      <c r="AB116" s="666"/>
      <c r="AC116" s="666"/>
      <c r="AD116" s="666"/>
      <c r="AE116" s="666"/>
      <c r="AF116" s="666"/>
      <c r="AG116" s="666"/>
      <c r="AH116" s="666"/>
      <c r="AI116" s="666"/>
      <c r="AJ116" s="666"/>
      <c r="AK116" s="666"/>
      <c r="AL116" s="666"/>
      <c r="AM116" s="666"/>
      <c r="AN116" s="666"/>
      <c r="AO116" s="666"/>
      <c r="AP116" s="666"/>
      <c r="AQ116" s="666"/>
      <c r="AR116" s="666"/>
      <c r="AS116" s="666"/>
      <c r="AT116" s="666"/>
      <c r="AU116" s="666"/>
      <c r="AV116" s="666"/>
      <c r="AW116" s="666"/>
      <c r="AX116" s="666"/>
      <c r="AY116" s="666"/>
      <c r="AZ116" s="666"/>
    </row>
    <row r="117" spans="1:52" ht="12.75" customHeight="1" x14ac:dyDescent="0.2">
      <c r="A117" s="706">
        <f>'Kalkulation Herstellungskosten'!B192</f>
        <v>0</v>
      </c>
      <c r="B117" s="674">
        <f>'Kalkulation Herstellungskosten'!G192</f>
        <v>0</v>
      </c>
      <c r="C117" s="666"/>
      <c r="D117" s="86"/>
      <c r="E117" s="86"/>
      <c r="F117" s="86"/>
      <c r="G117" s="687">
        <f t="shared" si="8"/>
        <v>0</v>
      </c>
      <c r="H117" s="86"/>
      <c r="I117" s="86"/>
      <c r="J117" s="687">
        <f t="shared" si="9"/>
        <v>0</v>
      </c>
      <c r="K117" s="86"/>
      <c r="L117" s="86"/>
      <c r="M117" s="86"/>
      <c r="N117" s="86"/>
      <c r="O117" s="86"/>
      <c r="P117" s="86"/>
      <c r="Q117" s="86"/>
      <c r="R117" s="86"/>
      <c r="S117" s="86"/>
      <c r="T117" s="687">
        <f t="shared" si="10"/>
        <v>0</v>
      </c>
      <c r="U117" s="666"/>
      <c r="V117" s="666"/>
      <c r="W117" s="666"/>
      <c r="X117" s="666"/>
      <c r="Y117" s="666"/>
      <c r="Z117" s="666"/>
      <c r="AA117" s="666"/>
      <c r="AB117" s="666"/>
      <c r="AC117" s="666"/>
      <c r="AD117" s="666"/>
      <c r="AE117" s="666"/>
      <c r="AF117" s="666"/>
      <c r="AG117" s="666"/>
      <c r="AH117" s="666"/>
      <c r="AI117" s="666"/>
      <c r="AJ117" s="666"/>
      <c r="AK117" s="666"/>
      <c r="AL117" s="666"/>
      <c r="AM117" s="666"/>
      <c r="AN117" s="666"/>
      <c r="AO117" s="666"/>
      <c r="AP117" s="666"/>
      <c r="AQ117" s="666"/>
      <c r="AR117" s="666"/>
      <c r="AS117" s="666"/>
      <c r="AT117" s="666"/>
      <c r="AU117" s="666"/>
      <c r="AV117" s="666"/>
      <c r="AW117" s="666"/>
      <c r="AX117" s="666"/>
      <c r="AY117" s="666"/>
      <c r="AZ117" s="666"/>
    </row>
    <row r="118" spans="1:52" ht="12.75" customHeight="1" x14ac:dyDescent="0.2">
      <c r="A118" s="706">
        <f>'Kalkulation Herstellungskosten'!B193</f>
        <v>0</v>
      </c>
      <c r="B118" s="674">
        <f>'Kalkulation Herstellungskosten'!G193</f>
        <v>0</v>
      </c>
      <c r="C118" s="666"/>
      <c r="D118" s="86"/>
      <c r="E118" s="86"/>
      <c r="F118" s="86"/>
      <c r="G118" s="687">
        <f t="shared" si="8"/>
        <v>0</v>
      </c>
      <c r="H118" s="86"/>
      <c r="I118" s="86"/>
      <c r="J118" s="687">
        <f t="shared" si="9"/>
        <v>0</v>
      </c>
      <c r="K118" s="86"/>
      <c r="L118" s="86"/>
      <c r="M118" s="86"/>
      <c r="N118" s="86"/>
      <c r="O118" s="86"/>
      <c r="P118" s="86"/>
      <c r="Q118" s="86"/>
      <c r="R118" s="86"/>
      <c r="S118" s="86"/>
      <c r="T118" s="687">
        <f t="shared" si="10"/>
        <v>0</v>
      </c>
      <c r="U118" s="666"/>
      <c r="V118" s="666"/>
      <c r="W118" s="666"/>
      <c r="X118" s="666"/>
      <c r="Y118" s="666"/>
      <c r="Z118" s="666"/>
      <c r="AA118" s="666"/>
      <c r="AB118" s="666"/>
      <c r="AC118" s="666"/>
      <c r="AD118" s="666"/>
      <c r="AE118" s="666"/>
      <c r="AF118" s="666"/>
      <c r="AG118" s="666"/>
      <c r="AH118" s="666"/>
      <c r="AI118" s="666"/>
      <c r="AJ118" s="666"/>
      <c r="AK118" s="666"/>
      <c r="AL118" s="666"/>
      <c r="AM118" s="666"/>
      <c r="AN118" s="666"/>
      <c r="AO118" s="666"/>
      <c r="AP118" s="666"/>
      <c r="AQ118" s="666"/>
      <c r="AR118" s="666"/>
      <c r="AS118" s="666"/>
      <c r="AT118" s="666"/>
      <c r="AU118" s="666"/>
      <c r="AV118" s="666"/>
      <c r="AW118" s="666"/>
      <c r="AX118" s="666"/>
      <c r="AY118" s="666"/>
      <c r="AZ118" s="666"/>
    </row>
    <row r="119" spans="1:52" ht="12.75" customHeight="1" x14ac:dyDescent="0.2">
      <c r="A119" s="706">
        <f>'Kalkulation Herstellungskosten'!B194</f>
        <v>0</v>
      </c>
      <c r="B119" s="674">
        <f>'Kalkulation Herstellungskosten'!G194</f>
        <v>0</v>
      </c>
      <c r="C119" s="666"/>
      <c r="D119" s="86"/>
      <c r="E119" s="86"/>
      <c r="F119" s="86"/>
      <c r="G119" s="687">
        <f t="shared" si="8"/>
        <v>0</v>
      </c>
      <c r="H119" s="86"/>
      <c r="I119" s="86"/>
      <c r="J119" s="687">
        <f t="shared" si="9"/>
        <v>0</v>
      </c>
      <c r="K119" s="86"/>
      <c r="L119" s="86"/>
      <c r="M119" s="86"/>
      <c r="N119" s="86"/>
      <c r="O119" s="86"/>
      <c r="P119" s="86"/>
      <c r="Q119" s="86"/>
      <c r="R119" s="86"/>
      <c r="S119" s="86"/>
      <c r="T119" s="687">
        <f t="shared" si="10"/>
        <v>0</v>
      </c>
      <c r="U119" s="666"/>
      <c r="V119" s="666"/>
      <c r="W119" s="666"/>
      <c r="X119" s="666"/>
      <c r="Y119" s="666"/>
      <c r="Z119" s="666"/>
      <c r="AA119" s="666"/>
      <c r="AB119" s="666"/>
      <c r="AC119" s="666"/>
      <c r="AD119" s="666"/>
      <c r="AE119" s="666"/>
      <c r="AF119" s="666"/>
      <c r="AG119" s="666"/>
      <c r="AH119" s="666"/>
      <c r="AI119" s="666"/>
      <c r="AJ119" s="666"/>
      <c r="AK119" s="666"/>
      <c r="AL119" s="666"/>
      <c r="AM119" s="666"/>
      <c r="AN119" s="666"/>
      <c r="AO119" s="666"/>
      <c r="AP119" s="666"/>
      <c r="AQ119" s="666"/>
      <c r="AR119" s="666"/>
      <c r="AS119" s="666"/>
      <c r="AT119" s="666"/>
      <c r="AU119" s="666"/>
      <c r="AV119" s="666"/>
      <c r="AW119" s="666"/>
      <c r="AX119" s="666"/>
      <c r="AY119" s="666"/>
      <c r="AZ119" s="666"/>
    </row>
    <row r="120" spans="1:52" ht="12.75" customHeight="1" x14ac:dyDescent="0.2">
      <c r="A120" s="706">
        <f>'Kalkulation Herstellungskosten'!B195</f>
        <v>0</v>
      </c>
      <c r="B120" s="674">
        <f>'Kalkulation Herstellungskosten'!G195</f>
        <v>0</v>
      </c>
      <c r="C120" s="666"/>
      <c r="D120" s="86"/>
      <c r="E120" s="86"/>
      <c r="F120" s="86"/>
      <c r="G120" s="687">
        <f t="shared" si="8"/>
        <v>0</v>
      </c>
      <c r="H120" s="86"/>
      <c r="I120" s="86"/>
      <c r="J120" s="687">
        <f t="shared" si="9"/>
        <v>0</v>
      </c>
      <c r="K120" s="86"/>
      <c r="L120" s="86"/>
      <c r="M120" s="86"/>
      <c r="N120" s="86"/>
      <c r="O120" s="86"/>
      <c r="P120" s="86"/>
      <c r="Q120" s="86"/>
      <c r="R120" s="86"/>
      <c r="S120" s="86"/>
      <c r="T120" s="687">
        <f t="shared" si="10"/>
        <v>0</v>
      </c>
      <c r="U120" s="666"/>
      <c r="V120" s="666"/>
      <c r="W120" s="666"/>
      <c r="X120" s="666"/>
      <c r="Y120" s="666"/>
      <c r="Z120" s="666"/>
      <c r="AA120" s="666"/>
      <c r="AB120" s="666"/>
      <c r="AC120" s="666"/>
      <c r="AD120" s="666"/>
      <c r="AE120" s="666"/>
      <c r="AF120" s="666"/>
      <c r="AG120" s="666"/>
      <c r="AH120" s="666"/>
      <c r="AI120" s="666"/>
      <c r="AJ120" s="666"/>
      <c r="AK120" s="666"/>
      <c r="AL120" s="666"/>
      <c r="AM120" s="666"/>
      <c r="AN120" s="666"/>
      <c r="AO120" s="666"/>
      <c r="AP120" s="666"/>
      <c r="AQ120" s="666"/>
      <c r="AR120" s="666"/>
      <c r="AS120" s="666"/>
      <c r="AT120" s="666"/>
      <c r="AU120" s="666"/>
      <c r="AV120" s="666"/>
      <c r="AW120" s="666"/>
      <c r="AX120" s="666"/>
      <c r="AY120" s="666"/>
      <c r="AZ120" s="666"/>
    </row>
    <row r="121" spans="1:52" ht="12.75" customHeight="1" x14ac:dyDescent="0.2">
      <c r="A121" s="706">
        <f>'Kalkulation Herstellungskosten'!B196</f>
        <v>0</v>
      </c>
      <c r="B121" s="674">
        <f>'Kalkulation Herstellungskosten'!G196</f>
        <v>0</v>
      </c>
      <c r="C121" s="666"/>
      <c r="D121" s="86"/>
      <c r="E121" s="86"/>
      <c r="F121" s="86"/>
      <c r="G121" s="687">
        <f t="shared" si="8"/>
        <v>0</v>
      </c>
      <c r="H121" s="86"/>
      <c r="I121" s="86"/>
      <c r="J121" s="687">
        <f t="shared" si="9"/>
        <v>0</v>
      </c>
      <c r="K121" s="86"/>
      <c r="L121" s="86"/>
      <c r="M121" s="86"/>
      <c r="N121" s="86"/>
      <c r="O121" s="86"/>
      <c r="P121" s="86"/>
      <c r="Q121" s="86"/>
      <c r="R121" s="86"/>
      <c r="S121" s="86"/>
      <c r="T121" s="687">
        <f t="shared" si="10"/>
        <v>0</v>
      </c>
      <c r="U121" s="666"/>
      <c r="V121" s="666"/>
      <c r="W121" s="666"/>
      <c r="X121" s="666"/>
      <c r="Y121" s="666"/>
      <c r="Z121" s="666"/>
      <c r="AA121" s="666"/>
      <c r="AB121" s="666"/>
      <c r="AC121" s="666"/>
      <c r="AD121" s="666"/>
      <c r="AE121" s="666"/>
      <c r="AF121" s="666"/>
      <c r="AG121" s="666"/>
      <c r="AH121" s="666"/>
      <c r="AI121" s="666"/>
      <c r="AJ121" s="666"/>
      <c r="AK121" s="666"/>
      <c r="AL121" s="666"/>
      <c r="AM121" s="666"/>
      <c r="AN121" s="666"/>
      <c r="AO121" s="666"/>
      <c r="AP121" s="666"/>
      <c r="AQ121" s="666"/>
      <c r="AR121" s="666"/>
      <c r="AS121" s="666"/>
      <c r="AT121" s="666"/>
      <c r="AU121" s="666"/>
      <c r="AV121" s="666"/>
      <c r="AW121" s="666"/>
      <c r="AX121" s="666"/>
      <c r="AY121" s="666"/>
      <c r="AZ121" s="666"/>
    </row>
    <row r="122" spans="1:52" ht="12.75" customHeight="1" x14ac:dyDescent="0.2">
      <c r="A122" s="706">
        <f>'Kalkulation Herstellungskosten'!B197</f>
        <v>0</v>
      </c>
      <c r="B122" s="674">
        <f>'Kalkulation Herstellungskosten'!G197</f>
        <v>0</v>
      </c>
      <c r="C122" s="666"/>
      <c r="D122" s="86"/>
      <c r="E122" s="86"/>
      <c r="F122" s="86"/>
      <c r="G122" s="687">
        <f t="shared" ref="G122:G129" si="11">E122*F122</f>
        <v>0</v>
      </c>
      <c r="H122" s="86"/>
      <c r="I122" s="86"/>
      <c r="J122" s="687">
        <f t="shared" ref="J122:J129" si="12">H122*I122</f>
        <v>0</v>
      </c>
      <c r="K122" s="86"/>
      <c r="L122" s="86"/>
      <c r="M122" s="86"/>
      <c r="N122" s="86"/>
      <c r="O122" s="86"/>
      <c r="P122" s="86"/>
      <c r="Q122" s="86"/>
      <c r="R122" s="86"/>
      <c r="S122" s="86"/>
      <c r="T122" s="687">
        <f t="shared" ref="T122:T129" si="13">R122*S122</f>
        <v>0</v>
      </c>
      <c r="U122" s="666"/>
      <c r="V122" s="666"/>
      <c r="W122" s="666"/>
      <c r="X122" s="666"/>
      <c r="Y122" s="666"/>
      <c r="Z122" s="666"/>
      <c r="AA122" s="666"/>
      <c r="AB122" s="666"/>
      <c r="AC122" s="666"/>
      <c r="AD122" s="666"/>
      <c r="AE122" s="666"/>
      <c r="AF122" s="666"/>
      <c r="AG122" s="666"/>
      <c r="AH122" s="666"/>
      <c r="AI122" s="666"/>
      <c r="AJ122" s="666"/>
      <c r="AK122" s="666"/>
      <c r="AL122" s="666"/>
      <c r="AM122" s="666"/>
      <c r="AN122" s="666"/>
      <c r="AO122" s="666"/>
      <c r="AP122" s="666"/>
      <c r="AQ122" s="666"/>
      <c r="AR122" s="666"/>
      <c r="AS122" s="666"/>
      <c r="AT122" s="666"/>
      <c r="AU122" s="666"/>
      <c r="AV122" s="666"/>
      <c r="AW122" s="666"/>
      <c r="AX122" s="666"/>
      <c r="AY122" s="666"/>
      <c r="AZ122" s="666"/>
    </row>
    <row r="123" spans="1:52" ht="12.75" customHeight="1" x14ac:dyDescent="0.2">
      <c r="A123" s="706">
        <f>'Kalkulation Herstellungskosten'!B198</f>
        <v>0</v>
      </c>
      <c r="B123" s="674">
        <f>'Kalkulation Herstellungskosten'!G198</f>
        <v>0</v>
      </c>
      <c r="C123" s="666"/>
      <c r="D123" s="86"/>
      <c r="E123" s="86"/>
      <c r="F123" s="86"/>
      <c r="G123" s="687">
        <f t="shared" si="11"/>
        <v>0</v>
      </c>
      <c r="H123" s="86"/>
      <c r="I123" s="86"/>
      <c r="J123" s="687">
        <f t="shared" si="12"/>
        <v>0</v>
      </c>
      <c r="K123" s="86"/>
      <c r="L123" s="86"/>
      <c r="M123" s="86"/>
      <c r="N123" s="86"/>
      <c r="O123" s="86"/>
      <c r="P123" s="86"/>
      <c r="Q123" s="86"/>
      <c r="R123" s="86"/>
      <c r="S123" s="86"/>
      <c r="T123" s="687">
        <f t="shared" si="13"/>
        <v>0</v>
      </c>
      <c r="U123" s="666"/>
      <c r="V123" s="666"/>
      <c r="W123" s="666"/>
      <c r="X123" s="666"/>
      <c r="Y123" s="666"/>
      <c r="Z123" s="666"/>
      <c r="AA123" s="666"/>
      <c r="AB123" s="666"/>
      <c r="AC123" s="666"/>
      <c r="AD123" s="666"/>
      <c r="AE123" s="666"/>
      <c r="AF123" s="666"/>
      <c r="AG123" s="666"/>
      <c r="AH123" s="666"/>
      <c r="AI123" s="666"/>
      <c r="AJ123" s="666"/>
      <c r="AK123" s="666"/>
      <c r="AL123" s="666"/>
      <c r="AM123" s="666"/>
      <c r="AN123" s="666"/>
      <c r="AO123" s="666"/>
      <c r="AP123" s="666"/>
      <c r="AQ123" s="666"/>
      <c r="AR123" s="666"/>
      <c r="AS123" s="666"/>
      <c r="AT123" s="666"/>
      <c r="AU123" s="666"/>
      <c r="AV123" s="666"/>
      <c r="AW123" s="666"/>
      <c r="AX123" s="666"/>
      <c r="AY123" s="666"/>
      <c r="AZ123" s="666"/>
    </row>
    <row r="124" spans="1:52" ht="12.75" customHeight="1" x14ac:dyDescent="0.2">
      <c r="A124" s="706">
        <f>'Kalkulation Herstellungskosten'!B199</f>
        <v>0</v>
      </c>
      <c r="B124" s="674">
        <f>'Kalkulation Herstellungskosten'!G199</f>
        <v>0</v>
      </c>
      <c r="C124" s="666"/>
      <c r="D124" s="86"/>
      <c r="E124" s="86"/>
      <c r="F124" s="86"/>
      <c r="G124" s="687">
        <f t="shared" si="11"/>
        <v>0</v>
      </c>
      <c r="H124" s="86"/>
      <c r="I124" s="86"/>
      <c r="J124" s="687">
        <f t="shared" si="12"/>
        <v>0</v>
      </c>
      <c r="K124" s="86"/>
      <c r="L124" s="86"/>
      <c r="M124" s="86"/>
      <c r="N124" s="86"/>
      <c r="O124" s="86"/>
      <c r="P124" s="86"/>
      <c r="Q124" s="86"/>
      <c r="R124" s="86"/>
      <c r="S124" s="86"/>
      <c r="T124" s="687">
        <f t="shared" si="13"/>
        <v>0</v>
      </c>
      <c r="U124" s="666"/>
      <c r="V124" s="666"/>
      <c r="W124" s="666"/>
      <c r="X124" s="666"/>
      <c r="Y124" s="666"/>
      <c r="Z124" s="666"/>
      <c r="AA124" s="666"/>
      <c r="AB124" s="666"/>
      <c r="AC124" s="666"/>
      <c r="AD124" s="666"/>
      <c r="AE124" s="666"/>
      <c r="AF124" s="666"/>
      <c r="AG124" s="666"/>
      <c r="AH124" s="666"/>
      <c r="AI124" s="666"/>
      <c r="AJ124" s="666"/>
      <c r="AK124" s="666"/>
      <c r="AL124" s="666"/>
      <c r="AM124" s="666"/>
      <c r="AN124" s="666"/>
      <c r="AO124" s="666"/>
      <c r="AP124" s="666"/>
      <c r="AQ124" s="666"/>
      <c r="AR124" s="666"/>
      <c r="AS124" s="666"/>
      <c r="AT124" s="666"/>
      <c r="AU124" s="666"/>
      <c r="AV124" s="666"/>
      <c r="AW124" s="666"/>
      <c r="AX124" s="666"/>
      <c r="AY124" s="666"/>
      <c r="AZ124" s="666"/>
    </row>
    <row r="125" spans="1:52" ht="12.75" customHeight="1" x14ac:dyDescent="0.2">
      <c r="A125" s="706">
        <f>'Kalkulation Herstellungskosten'!B200</f>
        <v>0</v>
      </c>
      <c r="B125" s="674">
        <f>'Kalkulation Herstellungskosten'!G200</f>
        <v>0</v>
      </c>
      <c r="C125" s="666"/>
      <c r="D125" s="86"/>
      <c r="E125" s="86"/>
      <c r="F125" s="86"/>
      <c r="G125" s="687">
        <f t="shared" si="11"/>
        <v>0</v>
      </c>
      <c r="H125" s="86"/>
      <c r="I125" s="86"/>
      <c r="J125" s="687">
        <f t="shared" si="12"/>
        <v>0</v>
      </c>
      <c r="K125" s="86"/>
      <c r="L125" s="86"/>
      <c r="M125" s="86"/>
      <c r="N125" s="86"/>
      <c r="O125" s="86"/>
      <c r="P125" s="86"/>
      <c r="Q125" s="86"/>
      <c r="R125" s="86"/>
      <c r="S125" s="86"/>
      <c r="T125" s="687">
        <f t="shared" si="13"/>
        <v>0</v>
      </c>
      <c r="U125" s="666"/>
      <c r="V125" s="666"/>
      <c r="W125" s="666"/>
      <c r="X125" s="666"/>
      <c r="Y125" s="666"/>
      <c r="Z125" s="666"/>
      <c r="AA125" s="666"/>
      <c r="AB125" s="666"/>
      <c r="AC125" s="666"/>
      <c r="AD125" s="666"/>
      <c r="AE125" s="666"/>
      <c r="AF125" s="666"/>
      <c r="AG125" s="666"/>
      <c r="AH125" s="666"/>
      <c r="AI125" s="666"/>
      <c r="AJ125" s="666"/>
      <c r="AK125" s="666"/>
      <c r="AL125" s="666"/>
      <c r="AM125" s="666"/>
      <c r="AN125" s="666"/>
      <c r="AO125" s="666"/>
      <c r="AP125" s="666"/>
      <c r="AQ125" s="666"/>
      <c r="AR125" s="666"/>
      <c r="AS125" s="666"/>
      <c r="AT125" s="666"/>
      <c r="AU125" s="666"/>
      <c r="AV125" s="666"/>
      <c r="AW125" s="666"/>
      <c r="AX125" s="666"/>
      <c r="AY125" s="666"/>
      <c r="AZ125" s="666"/>
    </row>
    <row r="126" spans="1:52" ht="12.75" customHeight="1" x14ac:dyDescent="0.2">
      <c r="A126" s="706">
        <f>'Kalkulation Herstellungskosten'!B201</f>
        <v>0</v>
      </c>
      <c r="B126" s="674">
        <f>'Kalkulation Herstellungskosten'!G201</f>
        <v>0</v>
      </c>
      <c r="C126" s="666"/>
      <c r="D126" s="86"/>
      <c r="E126" s="86"/>
      <c r="F126" s="86"/>
      <c r="G126" s="687">
        <f t="shared" si="11"/>
        <v>0</v>
      </c>
      <c r="H126" s="86"/>
      <c r="I126" s="86"/>
      <c r="J126" s="687">
        <f t="shared" si="12"/>
        <v>0</v>
      </c>
      <c r="K126" s="86"/>
      <c r="L126" s="86"/>
      <c r="M126" s="86"/>
      <c r="N126" s="86"/>
      <c r="O126" s="86"/>
      <c r="P126" s="86"/>
      <c r="Q126" s="86"/>
      <c r="R126" s="86"/>
      <c r="S126" s="86"/>
      <c r="T126" s="687">
        <f t="shared" si="13"/>
        <v>0</v>
      </c>
      <c r="U126" s="666"/>
      <c r="V126" s="666"/>
      <c r="W126" s="666"/>
      <c r="X126" s="666"/>
      <c r="Y126" s="666"/>
      <c r="Z126" s="666"/>
      <c r="AA126" s="666"/>
      <c r="AB126" s="666"/>
      <c r="AC126" s="666"/>
      <c r="AD126" s="666"/>
      <c r="AE126" s="666"/>
      <c r="AF126" s="666"/>
      <c r="AG126" s="666"/>
      <c r="AH126" s="666"/>
      <c r="AI126" s="666"/>
      <c r="AJ126" s="666"/>
      <c r="AK126" s="666"/>
      <c r="AL126" s="666"/>
      <c r="AM126" s="666"/>
      <c r="AN126" s="666"/>
      <c r="AO126" s="666"/>
      <c r="AP126" s="666"/>
      <c r="AQ126" s="666"/>
      <c r="AR126" s="666"/>
      <c r="AS126" s="666"/>
      <c r="AT126" s="666"/>
      <c r="AU126" s="666"/>
      <c r="AV126" s="666"/>
      <c r="AW126" s="666"/>
      <c r="AX126" s="666"/>
      <c r="AY126" s="666"/>
      <c r="AZ126" s="666"/>
    </row>
    <row r="127" spans="1:52" ht="12.75" customHeight="1" x14ac:dyDescent="0.2">
      <c r="A127" s="706">
        <f>'Kalkulation Herstellungskosten'!B202</f>
        <v>0</v>
      </c>
      <c r="B127" s="674">
        <f>'Kalkulation Herstellungskosten'!G202</f>
        <v>0</v>
      </c>
      <c r="C127" s="666"/>
      <c r="D127" s="86"/>
      <c r="E127" s="86"/>
      <c r="F127" s="86"/>
      <c r="G127" s="687">
        <f t="shared" si="11"/>
        <v>0</v>
      </c>
      <c r="H127" s="86"/>
      <c r="I127" s="86"/>
      <c r="J127" s="687">
        <f t="shared" si="12"/>
        <v>0</v>
      </c>
      <c r="K127" s="86"/>
      <c r="L127" s="86"/>
      <c r="M127" s="86"/>
      <c r="N127" s="86"/>
      <c r="O127" s="86"/>
      <c r="P127" s="86"/>
      <c r="Q127" s="86"/>
      <c r="R127" s="86"/>
      <c r="S127" s="86"/>
      <c r="T127" s="687">
        <f t="shared" si="13"/>
        <v>0</v>
      </c>
      <c r="U127" s="666"/>
      <c r="V127" s="666"/>
      <c r="W127" s="666"/>
      <c r="X127" s="666"/>
      <c r="Y127" s="666"/>
      <c r="Z127" s="666"/>
      <c r="AA127" s="666"/>
      <c r="AB127" s="666"/>
      <c r="AC127" s="666"/>
      <c r="AD127" s="666"/>
      <c r="AE127" s="666"/>
      <c r="AF127" s="666"/>
      <c r="AG127" s="666"/>
      <c r="AH127" s="666"/>
      <c r="AI127" s="666"/>
      <c r="AJ127" s="666"/>
      <c r="AK127" s="666"/>
      <c r="AL127" s="666"/>
      <c r="AM127" s="666"/>
      <c r="AN127" s="666"/>
      <c r="AO127" s="666"/>
      <c r="AP127" s="666"/>
      <c r="AQ127" s="666"/>
      <c r="AR127" s="666"/>
      <c r="AS127" s="666"/>
      <c r="AT127" s="666"/>
      <c r="AU127" s="666"/>
      <c r="AV127" s="666"/>
      <c r="AW127" s="666"/>
      <c r="AX127" s="666"/>
      <c r="AY127" s="666"/>
      <c r="AZ127" s="666"/>
    </row>
    <row r="128" spans="1:52" ht="12.75" customHeight="1" x14ac:dyDescent="0.2">
      <c r="A128" s="706">
        <f>'Kalkulation Herstellungskosten'!B203</f>
        <v>0</v>
      </c>
      <c r="B128" s="674">
        <f>'Kalkulation Herstellungskosten'!G203</f>
        <v>0</v>
      </c>
      <c r="C128" s="666"/>
      <c r="D128" s="86"/>
      <c r="E128" s="86"/>
      <c r="F128" s="86"/>
      <c r="G128" s="687">
        <f t="shared" si="11"/>
        <v>0</v>
      </c>
      <c r="H128" s="86"/>
      <c r="I128" s="86"/>
      <c r="J128" s="687">
        <f t="shared" si="12"/>
        <v>0</v>
      </c>
      <c r="K128" s="86"/>
      <c r="L128" s="86"/>
      <c r="M128" s="86"/>
      <c r="N128" s="86"/>
      <c r="O128" s="86"/>
      <c r="P128" s="86"/>
      <c r="Q128" s="86"/>
      <c r="R128" s="86"/>
      <c r="S128" s="86"/>
      <c r="T128" s="687">
        <f t="shared" si="13"/>
        <v>0</v>
      </c>
      <c r="U128" s="666"/>
      <c r="V128" s="666"/>
      <c r="W128" s="666"/>
      <c r="X128" s="666"/>
      <c r="Y128" s="666"/>
      <c r="Z128" s="666"/>
      <c r="AA128" s="666"/>
      <c r="AB128" s="666"/>
      <c r="AC128" s="666"/>
      <c r="AD128" s="666"/>
      <c r="AE128" s="666"/>
      <c r="AF128" s="666"/>
      <c r="AG128" s="666"/>
      <c r="AH128" s="666"/>
      <c r="AI128" s="666"/>
      <c r="AJ128" s="666"/>
      <c r="AK128" s="666"/>
      <c r="AL128" s="666"/>
      <c r="AM128" s="666"/>
      <c r="AN128" s="666"/>
      <c r="AO128" s="666"/>
      <c r="AP128" s="666"/>
      <c r="AQ128" s="666"/>
      <c r="AR128" s="666"/>
      <c r="AS128" s="666"/>
      <c r="AT128" s="666"/>
      <c r="AU128" s="666"/>
      <c r="AV128" s="666"/>
      <c r="AW128" s="666"/>
      <c r="AX128" s="666"/>
      <c r="AY128" s="666"/>
      <c r="AZ128" s="666"/>
    </row>
    <row r="129" spans="1:52" ht="12.75" customHeight="1" x14ac:dyDescent="0.2">
      <c r="A129" s="706">
        <f>'Kalkulation Herstellungskosten'!B204</f>
        <v>0</v>
      </c>
      <c r="B129" s="674">
        <f>'Kalkulation Herstellungskosten'!G204</f>
        <v>0</v>
      </c>
      <c r="C129" s="666"/>
      <c r="D129" s="86"/>
      <c r="E129" s="86"/>
      <c r="F129" s="86"/>
      <c r="G129" s="687">
        <f t="shared" si="11"/>
        <v>0</v>
      </c>
      <c r="H129" s="86"/>
      <c r="I129" s="86"/>
      <c r="J129" s="687">
        <f t="shared" si="12"/>
        <v>0</v>
      </c>
      <c r="K129" s="86"/>
      <c r="L129" s="86"/>
      <c r="M129" s="86"/>
      <c r="N129" s="86"/>
      <c r="O129" s="86"/>
      <c r="P129" s="86"/>
      <c r="Q129" s="86"/>
      <c r="R129" s="86"/>
      <c r="S129" s="86"/>
      <c r="T129" s="687">
        <f t="shared" si="13"/>
        <v>0</v>
      </c>
      <c r="U129" s="666"/>
      <c r="V129" s="666"/>
      <c r="W129" s="666"/>
      <c r="X129" s="666"/>
      <c r="Y129" s="666"/>
      <c r="Z129" s="666"/>
      <c r="AA129" s="666"/>
      <c r="AB129" s="666"/>
      <c r="AC129" s="666"/>
      <c r="AD129" s="666"/>
      <c r="AE129" s="666"/>
      <c r="AF129" s="666"/>
      <c r="AG129" s="666"/>
      <c r="AH129" s="666"/>
      <c r="AI129" s="666"/>
      <c r="AJ129" s="666"/>
      <c r="AK129" s="666"/>
      <c r="AL129" s="666"/>
      <c r="AM129" s="666"/>
      <c r="AN129" s="666"/>
      <c r="AO129" s="666"/>
      <c r="AP129" s="666"/>
      <c r="AQ129" s="666"/>
      <c r="AR129" s="666"/>
      <c r="AS129" s="666"/>
      <c r="AT129" s="666"/>
      <c r="AU129" s="666"/>
      <c r="AV129" s="666"/>
      <c r="AW129" s="666"/>
      <c r="AX129" s="666"/>
      <c r="AY129" s="666"/>
      <c r="AZ129" s="666"/>
    </row>
    <row r="130" spans="1:52" ht="12.75" customHeight="1" x14ac:dyDescent="0.2">
      <c r="A130" s="708"/>
      <c r="B130" s="676"/>
      <c r="C130" s="676"/>
      <c r="D130" s="676"/>
      <c r="E130" s="676"/>
      <c r="F130" s="676"/>
      <c r="G130" s="676"/>
      <c r="H130" s="676"/>
      <c r="I130" s="676"/>
      <c r="J130" s="676"/>
      <c r="K130" s="676"/>
      <c r="L130" s="676"/>
      <c r="M130" s="676"/>
      <c r="N130" s="676"/>
      <c r="O130" s="676"/>
      <c r="P130" s="676"/>
      <c r="Q130" s="676"/>
      <c r="R130" s="676"/>
      <c r="S130" s="676"/>
      <c r="T130" s="676"/>
      <c r="U130" s="676"/>
      <c r="V130" s="666"/>
      <c r="W130" s="666"/>
      <c r="X130" s="666"/>
      <c r="Y130" s="666"/>
      <c r="Z130" s="666"/>
      <c r="AA130" s="666"/>
      <c r="AB130" s="666"/>
      <c r="AC130" s="666"/>
      <c r="AD130" s="666"/>
      <c r="AE130" s="666"/>
      <c r="AF130" s="666"/>
      <c r="AG130" s="666"/>
      <c r="AH130" s="666"/>
      <c r="AI130" s="666"/>
      <c r="AJ130" s="666"/>
      <c r="AK130" s="666"/>
      <c r="AL130" s="666"/>
      <c r="AM130" s="666"/>
      <c r="AN130" s="666"/>
      <c r="AO130" s="666"/>
      <c r="AP130" s="666"/>
      <c r="AQ130" s="666"/>
      <c r="AR130" s="666"/>
      <c r="AS130" s="666"/>
      <c r="AT130" s="666"/>
      <c r="AU130" s="666"/>
      <c r="AV130" s="666"/>
      <c r="AW130" s="666"/>
      <c r="AX130" s="666"/>
      <c r="AY130" s="666"/>
      <c r="AZ130" s="666"/>
    </row>
    <row r="131" spans="1:52" ht="12.75" customHeight="1" x14ac:dyDescent="0.2">
      <c r="A131" s="709" t="s">
        <v>493</v>
      </c>
      <c r="B131" s="676"/>
      <c r="C131" s="676"/>
      <c r="D131" s="676"/>
      <c r="E131" s="676"/>
      <c r="F131" s="676"/>
      <c r="G131" s="676"/>
      <c r="H131" s="676"/>
      <c r="I131" s="676"/>
      <c r="J131" s="676"/>
      <c r="K131" s="676"/>
      <c r="L131" s="676"/>
      <c r="M131" s="676"/>
      <c r="N131" s="676"/>
      <c r="O131" s="676"/>
      <c r="P131" s="676"/>
      <c r="Q131" s="676"/>
      <c r="R131" s="676"/>
      <c r="S131" s="676"/>
      <c r="T131" s="676"/>
      <c r="U131" s="676"/>
      <c r="V131" s="666"/>
      <c r="W131" s="666"/>
      <c r="X131" s="666"/>
      <c r="Y131" s="666"/>
      <c r="Z131" s="666"/>
      <c r="AA131" s="666"/>
      <c r="AB131" s="666"/>
      <c r="AC131" s="666"/>
      <c r="AD131" s="666"/>
      <c r="AE131" s="666"/>
      <c r="AF131" s="666"/>
      <c r="AG131" s="666"/>
      <c r="AH131" s="666"/>
      <c r="AI131" s="666"/>
      <c r="AJ131" s="666"/>
      <c r="AK131" s="666"/>
      <c r="AL131" s="666"/>
      <c r="AM131" s="666"/>
      <c r="AN131" s="666"/>
      <c r="AO131" s="666"/>
      <c r="AP131" s="666"/>
      <c r="AQ131" s="666"/>
      <c r="AR131" s="666"/>
      <c r="AS131" s="666"/>
      <c r="AT131" s="666"/>
      <c r="AU131" s="666"/>
      <c r="AV131" s="666"/>
      <c r="AW131" s="666"/>
      <c r="AX131" s="666"/>
      <c r="AY131" s="666"/>
      <c r="AZ131" s="666"/>
    </row>
    <row r="132" spans="1:52" ht="12.75" customHeight="1" x14ac:dyDescent="0.2">
      <c r="A132" s="706" t="str">
        <f>'Kalkulation Herstellungskosten'!B225</f>
        <v>ProduzentInnenhonorar (gem. Richtlinien)</v>
      </c>
      <c r="B132" s="674">
        <f ca="1">'Kalkulation Herstellungskosten'!E225</f>
        <v>0</v>
      </c>
      <c r="C132" s="666"/>
      <c r="D132" s="86"/>
      <c r="E132" s="86"/>
      <c r="F132" s="86"/>
      <c r="G132" s="687">
        <f>E132*F132</f>
        <v>0</v>
      </c>
      <c r="H132" s="86"/>
      <c r="I132" s="86"/>
      <c r="J132" s="687">
        <f>H132*I132</f>
        <v>0</v>
      </c>
      <c r="K132" s="86"/>
      <c r="L132" s="86"/>
      <c r="M132" s="86"/>
      <c r="N132" s="86"/>
      <c r="O132" s="86"/>
      <c r="P132" s="86"/>
      <c r="Q132" s="86"/>
      <c r="R132" s="86"/>
      <c r="S132" s="86"/>
      <c r="T132" s="687">
        <f t="shared" ref="T132:T138" si="14">R132*S132</f>
        <v>0</v>
      </c>
      <c r="U132" s="666"/>
      <c r="V132" s="666"/>
      <c r="W132" s="666"/>
      <c r="X132" s="666"/>
      <c r="Y132" s="666"/>
      <c r="Z132" s="666"/>
      <c r="AA132" s="666"/>
      <c r="AB132" s="666"/>
      <c r="AC132" s="666"/>
      <c r="AD132" s="666"/>
      <c r="AE132" s="666"/>
      <c r="AF132" s="666"/>
      <c r="AG132" s="666"/>
      <c r="AH132" s="666"/>
      <c r="AI132" s="666"/>
      <c r="AJ132" s="666"/>
      <c r="AK132" s="666"/>
      <c r="AL132" s="666"/>
      <c r="AM132" s="666"/>
      <c r="AN132" s="666"/>
      <c r="AO132" s="666"/>
      <c r="AP132" s="666"/>
      <c r="AQ132" s="666"/>
      <c r="AR132" s="666"/>
      <c r="AS132" s="666"/>
      <c r="AT132" s="666"/>
      <c r="AU132" s="666"/>
      <c r="AV132" s="666"/>
      <c r="AW132" s="666"/>
      <c r="AX132" s="666"/>
      <c r="AY132" s="666"/>
      <c r="AZ132" s="666"/>
    </row>
    <row r="133" spans="1:52" ht="12.75" customHeight="1" x14ac:dyDescent="0.2">
      <c r="A133" s="706" t="str">
        <f>'Kalkulation Herstellungskosten'!B226</f>
        <v>Rechtsberatung</v>
      </c>
      <c r="B133" s="674">
        <f>'Kalkulation Herstellungskosten'!E226</f>
        <v>0</v>
      </c>
      <c r="C133" s="666"/>
      <c r="D133" s="86"/>
      <c r="E133" s="86"/>
      <c r="F133" s="86"/>
      <c r="G133" s="687">
        <f t="shared" ref="G133:G138" si="15">E133*F133</f>
        <v>0</v>
      </c>
      <c r="H133" s="86"/>
      <c r="I133" s="86"/>
      <c r="J133" s="687">
        <f t="shared" ref="J133:J138" si="16">H133*I133</f>
        <v>0</v>
      </c>
      <c r="K133" s="86"/>
      <c r="L133" s="86"/>
      <c r="M133" s="86"/>
      <c r="N133" s="86"/>
      <c r="O133" s="86"/>
      <c r="P133" s="86"/>
      <c r="Q133" s="86"/>
      <c r="R133" s="86"/>
      <c r="S133" s="86"/>
      <c r="T133" s="687">
        <f t="shared" si="14"/>
        <v>0</v>
      </c>
      <c r="U133" s="666"/>
      <c r="V133" s="666"/>
      <c r="W133" s="666"/>
      <c r="X133" s="666"/>
      <c r="Y133" s="666"/>
      <c r="Z133" s="666"/>
      <c r="AA133" s="666"/>
      <c r="AB133" s="666"/>
      <c r="AC133" s="666"/>
      <c r="AD133" s="666"/>
      <c r="AE133" s="666"/>
      <c r="AF133" s="666"/>
      <c r="AG133" s="666"/>
      <c r="AH133" s="666"/>
      <c r="AI133" s="666"/>
      <c r="AJ133" s="666"/>
      <c r="AK133" s="666"/>
      <c r="AL133" s="666"/>
      <c r="AM133" s="666"/>
      <c r="AN133" s="666"/>
      <c r="AO133" s="666"/>
      <c r="AP133" s="666"/>
      <c r="AQ133" s="666"/>
      <c r="AR133" s="666"/>
      <c r="AS133" s="666"/>
      <c r="AT133" s="666"/>
      <c r="AU133" s="666"/>
      <c r="AV133" s="666"/>
      <c r="AW133" s="666"/>
      <c r="AX133" s="666"/>
      <c r="AY133" s="666"/>
      <c r="AZ133" s="666"/>
    </row>
    <row r="134" spans="1:52" ht="12.75" customHeight="1" x14ac:dyDescent="0.2">
      <c r="A134" s="706" t="str">
        <f>'Kalkulation Herstellungskosten'!B227</f>
        <v>ArchitektIn/Ausstattung</v>
      </c>
      <c r="B134" s="674">
        <f>'Kalkulation Herstellungskosten'!E227</f>
        <v>0</v>
      </c>
      <c r="C134" s="666"/>
      <c r="D134" s="86"/>
      <c r="E134" s="86"/>
      <c r="F134" s="86"/>
      <c r="G134" s="687">
        <f t="shared" si="15"/>
        <v>0</v>
      </c>
      <c r="H134" s="86"/>
      <c r="I134" s="86"/>
      <c r="J134" s="687">
        <f t="shared" si="16"/>
        <v>0</v>
      </c>
      <c r="K134" s="86"/>
      <c r="L134" s="86"/>
      <c r="M134" s="86"/>
      <c r="N134" s="86"/>
      <c r="O134" s="86"/>
      <c r="P134" s="86"/>
      <c r="Q134" s="86"/>
      <c r="R134" s="86"/>
      <c r="S134" s="86"/>
      <c r="T134" s="687">
        <f t="shared" si="14"/>
        <v>0</v>
      </c>
      <c r="U134" s="666"/>
      <c r="V134" s="666"/>
      <c r="W134" s="666"/>
      <c r="X134" s="666"/>
      <c r="Y134" s="666"/>
      <c r="Z134" s="666"/>
      <c r="AA134" s="666"/>
      <c r="AB134" s="666"/>
      <c r="AC134" s="666"/>
      <c r="AD134" s="666"/>
      <c r="AE134" s="666"/>
      <c r="AF134" s="666"/>
      <c r="AG134" s="666"/>
      <c r="AH134" s="666"/>
      <c r="AI134" s="666"/>
      <c r="AJ134" s="666"/>
      <c r="AK134" s="666"/>
      <c r="AL134" s="666"/>
      <c r="AM134" s="666"/>
      <c r="AN134" s="666"/>
      <c r="AO134" s="666"/>
      <c r="AP134" s="666"/>
      <c r="AQ134" s="666"/>
      <c r="AR134" s="666"/>
      <c r="AS134" s="666"/>
      <c r="AT134" s="666"/>
      <c r="AU134" s="666"/>
      <c r="AV134" s="666"/>
      <c r="AW134" s="666"/>
      <c r="AX134" s="666"/>
      <c r="AY134" s="666"/>
      <c r="AZ134" s="666"/>
    </row>
    <row r="135" spans="1:52" ht="12.75" customHeight="1" x14ac:dyDescent="0.2">
      <c r="A135" s="706" t="str">
        <f>'Kalkulation Herstellungskosten'!B228</f>
        <v>Casting</v>
      </c>
      <c r="B135" s="674">
        <f>'Kalkulation Herstellungskosten'!E228</f>
        <v>0</v>
      </c>
      <c r="C135" s="666"/>
      <c r="D135" s="86"/>
      <c r="E135" s="86"/>
      <c r="F135" s="86"/>
      <c r="G135" s="687">
        <f t="shared" si="15"/>
        <v>0</v>
      </c>
      <c r="H135" s="86"/>
      <c r="I135" s="86"/>
      <c r="J135" s="687">
        <f t="shared" si="16"/>
        <v>0</v>
      </c>
      <c r="K135" s="86"/>
      <c r="L135" s="86"/>
      <c r="M135" s="86"/>
      <c r="N135" s="86"/>
      <c r="O135" s="86"/>
      <c r="P135" s="86"/>
      <c r="Q135" s="86"/>
      <c r="R135" s="86"/>
      <c r="S135" s="86"/>
      <c r="T135" s="687">
        <f t="shared" si="14"/>
        <v>0</v>
      </c>
      <c r="U135" s="666"/>
      <c r="V135" s="666"/>
      <c r="W135" s="666"/>
      <c r="X135" s="666"/>
      <c r="Y135" s="666"/>
      <c r="Z135" s="666"/>
      <c r="AA135" s="666"/>
      <c r="AB135" s="666"/>
      <c r="AC135" s="666"/>
      <c r="AD135" s="666"/>
      <c r="AE135" s="666"/>
      <c r="AF135" s="666"/>
      <c r="AG135" s="666"/>
      <c r="AH135" s="666"/>
      <c r="AI135" s="666"/>
      <c r="AJ135" s="666"/>
      <c r="AK135" s="666"/>
      <c r="AL135" s="666"/>
      <c r="AM135" s="666"/>
      <c r="AN135" s="666"/>
      <c r="AO135" s="666"/>
      <c r="AP135" s="666"/>
      <c r="AQ135" s="666"/>
      <c r="AR135" s="666"/>
      <c r="AS135" s="666"/>
      <c r="AT135" s="666"/>
      <c r="AU135" s="666"/>
      <c r="AV135" s="666"/>
      <c r="AW135" s="666"/>
      <c r="AX135" s="666"/>
      <c r="AY135" s="666"/>
      <c r="AZ135" s="666"/>
    </row>
    <row r="136" spans="1:52" ht="12.75" customHeight="1" x14ac:dyDescent="0.2">
      <c r="A136" s="706" t="str">
        <f>'Kalkulation Herstellungskosten'!B229</f>
        <v>KunstmalerIn, BildhauerIn</v>
      </c>
      <c r="B136" s="674">
        <f>'Kalkulation Herstellungskosten'!E229</f>
        <v>0</v>
      </c>
      <c r="C136" s="666"/>
      <c r="D136" s="86"/>
      <c r="E136" s="86"/>
      <c r="F136" s="86"/>
      <c r="G136" s="687">
        <f t="shared" si="15"/>
        <v>0</v>
      </c>
      <c r="H136" s="86"/>
      <c r="I136" s="86"/>
      <c r="J136" s="687">
        <f t="shared" si="16"/>
        <v>0</v>
      </c>
      <c r="K136" s="86"/>
      <c r="L136" s="86"/>
      <c r="M136" s="86"/>
      <c r="N136" s="86"/>
      <c r="O136" s="86"/>
      <c r="P136" s="86"/>
      <c r="Q136" s="86"/>
      <c r="R136" s="86"/>
      <c r="S136" s="86"/>
      <c r="T136" s="687">
        <f t="shared" si="14"/>
        <v>0</v>
      </c>
      <c r="U136" s="666"/>
      <c r="V136" s="666"/>
      <c r="W136" s="666"/>
      <c r="X136" s="666"/>
      <c r="Y136" s="666"/>
      <c r="Z136" s="666"/>
      <c r="AA136" s="666"/>
      <c r="AB136" s="666"/>
      <c r="AC136" s="666"/>
      <c r="AD136" s="666"/>
      <c r="AE136" s="666"/>
      <c r="AF136" s="666"/>
      <c r="AG136" s="666"/>
      <c r="AH136" s="666"/>
      <c r="AI136" s="666"/>
      <c r="AJ136" s="666"/>
      <c r="AK136" s="666"/>
      <c r="AL136" s="666"/>
      <c r="AM136" s="666"/>
      <c r="AN136" s="666"/>
      <c r="AO136" s="666"/>
      <c r="AP136" s="666"/>
      <c r="AQ136" s="666"/>
      <c r="AR136" s="666"/>
      <c r="AS136" s="666"/>
      <c r="AT136" s="666"/>
      <c r="AU136" s="666"/>
      <c r="AV136" s="666"/>
      <c r="AW136" s="666"/>
      <c r="AX136" s="666"/>
      <c r="AY136" s="666"/>
      <c r="AZ136" s="666"/>
    </row>
    <row r="137" spans="1:52" ht="12.75" customHeight="1" x14ac:dyDescent="0.2">
      <c r="A137" s="706" t="str">
        <f>'Kalkulation Herstellungskosten'!B230</f>
        <v>StandfotografIn</v>
      </c>
      <c r="B137" s="674">
        <f>'Kalkulation Herstellungskosten'!E230</f>
        <v>0</v>
      </c>
      <c r="C137" s="666"/>
      <c r="D137" s="86"/>
      <c r="E137" s="86"/>
      <c r="F137" s="86"/>
      <c r="G137" s="687">
        <f t="shared" si="15"/>
        <v>0</v>
      </c>
      <c r="H137" s="86"/>
      <c r="I137" s="86"/>
      <c r="J137" s="687">
        <f t="shared" si="16"/>
        <v>0</v>
      </c>
      <c r="K137" s="86"/>
      <c r="L137" s="86"/>
      <c r="M137" s="86"/>
      <c r="N137" s="86"/>
      <c r="O137" s="86"/>
      <c r="P137" s="86"/>
      <c r="Q137" s="86"/>
      <c r="R137" s="86"/>
      <c r="S137" s="86"/>
      <c r="T137" s="687">
        <f t="shared" si="14"/>
        <v>0</v>
      </c>
      <c r="U137" s="666"/>
      <c r="V137" s="666"/>
      <c r="W137" s="666"/>
      <c r="X137" s="666"/>
      <c r="Y137" s="666"/>
      <c r="Z137" s="666"/>
      <c r="AA137" s="666"/>
      <c r="AB137" s="666"/>
      <c r="AC137" s="666"/>
      <c r="AD137" s="666"/>
      <c r="AE137" s="666"/>
      <c r="AF137" s="666"/>
      <c r="AG137" s="666"/>
      <c r="AH137" s="666"/>
      <c r="AI137" s="666"/>
      <c r="AJ137" s="666"/>
      <c r="AK137" s="666"/>
      <c r="AL137" s="666"/>
      <c r="AM137" s="666"/>
      <c r="AN137" s="666"/>
      <c r="AO137" s="666"/>
      <c r="AP137" s="666"/>
      <c r="AQ137" s="666"/>
      <c r="AR137" s="666"/>
      <c r="AS137" s="666"/>
      <c r="AT137" s="666"/>
      <c r="AU137" s="666"/>
      <c r="AV137" s="666"/>
      <c r="AW137" s="666"/>
      <c r="AX137" s="666"/>
      <c r="AY137" s="666"/>
      <c r="AZ137" s="666"/>
    </row>
    <row r="138" spans="1:52" ht="12.75" customHeight="1" x14ac:dyDescent="0.2">
      <c r="A138" s="706" t="str">
        <f>'Kalkulation Herstellungskosten'!B231</f>
        <v>GrafikerIn</v>
      </c>
      <c r="B138" s="674">
        <f>'Kalkulation Herstellungskosten'!E231</f>
        <v>0</v>
      </c>
      <c r="C138" s="666"/>
      <c r="D138" s="86"/>
      <c r="E138" s="86"/>
      <c r="F138" s="86"/>
      <c r="G138" s="687">
        <f t="shared" si="15"/>
        <v>0</v>
      </c>
      <c r="H138" s="86"/>
      <c r="I138" s="86"/>
      <c r="J138" s="687">
        <f t="shared" si="16"/>
        <v>0</v>
      </c>
      <c r="K138" s="86"/>
      <c r="L138" s="86"/>
      <c r="M138" s="86"/>
      <c r="N138" s="86"/>
      <c r="O138" s="86"/>
      <c r="P138" s="86"/>
      <c r="Q138" s="86"/>
      <c r="R138" s="86"/>
      <c r="S138" s="86"/>
      <c r="T138" s="687">
        <f t="shared" si="14"/>
        <v>0</v>
      </c>
      <c r="U138" s="666"/>
      <c r="V138" s="666"/>
      <c r="W138" s="666"/>
      <c r="X138" s="666"/>
      <c r="Y138" s="666"/>
      <c r="Z138" s="666"/>
      <c r="AA138" s="666"/>
      <c r="AB138" s="666"/>
      <c r="AC138" s="666"/>
      <c r="AD138" s="666"/>
      <c r="AE138" s="666"/>
      <c r="AF138" s="666"/>
      <c r="AG138" s="666"/>
      <c r="AH138" s="666"/>
      <c r="AI138" s="666"/>
      <c r="AJ138" s="666"/>
      <c r="AK138" s="666"/>
      <c r="AL138" s="666"/>
      <c r="AM138" s="666"/>
      <c r="AN138" s="666"/>
      <c r="AO138" s="666"/>
      <c r="AP138" s="666"/>
      <c r="AQ138" s="666"/>
      <c r="AR138" s="666"/>
      <c r="AS138" s="666"/>
      <c r="AT138" s="666"/>
      <c r="AU138" s="666"/>
      <c r="AV138" s="666"/>
      <c r="AW138" s="666"/>
      <c r="AX138" s="666"/>
      <c r="AY138" s="666"/>
      <c r="AZ138" s="666"/>
    </row>
    <row r="139" spans="1:52" ht="12.75" customHeight="1" x14ac:dyDescent="0.2">
      <c r="A139" s="708"/>
      <c r="B139" s="676"/>
      <c r="C139" s="666"/>
      <c r="D139" s="283"/>
      <c r="E139" s="283"/>
      <c r="F139" s="283"/>
      <c r="G139" s="283"/>
      <c r="H139" s="283"/>
      <c r="I139" s="283"/>
      <c r="J139" s="283"/>
      <c r="K139" s="283"/>
      <c r="L139" s="283"/>
      <c r="M139" s="283"/>
      <c r="N139" s="283"/>
      <c r="O139" s="283"/>
      <c r="P139" s="283"/>
      <c r="Q139" s="283"/>
      <c r="R139" s="283"/>
      <c r="S139" s="283"/>
      <c r="T139" s="283"/>
      <c r="U139" s="666"/>
      <c r="V139" s="666"/>
      <c r="W139" s="666"/>
      <c r="X139" s="666"/>
      <c r="Y139" s="666"/>
      <c r="Z139" s="666"/>
      <c r="AA139" s="666"/>
      <c r="AB139" s="666"/>
      <c r="AC139" s="666"/>
      <c r="AD139" s="666"/>
      <c r="AE139" s="666"/>
      <c r="AF139" s="666"/>
      <c r="AG139" s="666"/>
      <c r="AH139" s="666"/>
      <c r="AI139" s="666"/>
      <c r="AJ139" s="666"/>
      <c r="AK139" s="666"/>
      <c r="AL139" s="666"/>
      <c r="AM139" s="666"/>
      <c r="AN139" s="666"/>
      <c r="AO139" s="666"/>
      <c r="AP139" s="666"/>
      <c r="AQ139" s="666"/>
      <c r="AR139" s="666"/>
      <c r="AS139" s="666"/>
      <c r="AT139" s="666"/>
      <c r="AU139" s="666"/>
      <c r="AV139" s="666"/>
      <c r="AW139" s="666"/>
      <c r="AX139" s="666"/>
      <c r="AY139" s="666"/>
      <c r="AZ139" s="666"/>
    </row>
    <row r="140" spans="1:52" ht="12.75" customHeight="1" x14ac:dyDescent="0.2">
      <c r="A140" s="710" t="str">
        <f>'Kalkulation Herstellungskosten'!B233</f>
        <v>Sonstige Dienstleister/Rechnungsleger</v>
      </c>
      <c r="B140" s="676"/>
      <c r="C140" s="676"/>
      <c r="D140" s="676"/>
      <c r="E140" s="676"/>
      <c r="F140" s="676"/>
      <c r="G140" s="676"/>
      <c r="H140" s="676"/>
      <c r="I140" s="676"/>
      <c r="J140" s="676"/>
      <c r="K140" s="676"/>
      <c r="L140" s="676"/>
      <c r="M140" s="676"/>
      <c r="N140" s="676"/>
      <c r="O140" s="676"/>
      <c r="P140" s="676"/>
      <c r="Q140" s="676"/>
      <c r="R140" s="676"/>
      <c r="S140" s="676"/>
      <c r="T140" s="676"/>
      <c r="U140" s="666"/>
      <c r="V140" s="666"/>
      <c r="W140" s="666"/>
      <c r="X140" s="666"/>
      <c r="Y140" s="666"/>
      <c r="Z140" s="666"/>
      <c r="AA140" s="666"/>
      <c r="AB140" s="666"/>
      <c r="AC140" s="666"/>
      <c r="AD140" s="666"/>
      <c r="AE140" s="666"/>
      <c r="AF140" s="666"/>
      <c r="AG140" s="666"/>
      <c r="AH140" s="666"/>
      <c r="AI140" s="666"/>
      <c r="AJ140" s="666"/>
      <c r="AK140" s="666"/>
      <c r="AL140" s="666"/>
      <c r="AM140" s="666"/>
      <c r="AN140" s="666"/>
      <c r="AO140" s="666"/>
      <c r="AP140" s="666"/>
      <c r="AQ140" s="666"/>
      <c r="AR140" s="666"/>
      <c r="AS140" s="666"/>
      <c r="AT140" s="666"/>
      <c r="AU140" s="666"/>
      <c r="AV140" s="666"/>
      <c r="AW140" s="666"/>
      <c r="AX140" s="666"/>
      <c r="AY140" s="666"/>
      <c r="AZ140" s="666"/>
    </row>
    <row r="141" spans="1:52" ht="12.75" customHeight="1" x14ac:dyDescent="0.2">
      <c r="A141" s="706" t="str">
        <f>'Kalkulation Herstellungskosten'!B234</f>
        <v>Green Film Consultant</v>
      </c>
      <c r="B141" s="674">
        <f>'Kalkulation Herstellungskosten'!E234</f>
        <v>0</v>
      </c>
      <c r="C141" s="666"/>
      <c r="D141" s="86"/>
      <c r="E141" s="86"/>
      <c r="F141" s="86"/>
      <c r="G141" s="687">
        <f>E141*F141</f>
        <v>0</v>
      </c>
      <c r="H141" s="86"/>
      <c r="I141" s="86"/>
      <c r="J141" s="687">
        <f>H141*I141</f>
        <v>0</v>
      </c>
      <c r="K141" s="86"/>
      <c r="L141" s="86"/>
      <c r="M141" s="86"/>
      <c r="N141" s="86"/>
      <c r="O141" s="86"/>
      <c r="P141" s="86"/>
      <c r="Q141" s="86"/>
      <c r="R141" s="86"/>
      <c r="S141" s="86"/>
      <c r="T141" s="687">
        <f t="shared" ref="T141:T161" si="17">R141*S141</f>
        <v>0</v>
      </c>
      <c r="U141" s="666"/>
      <c r="V141" s="666"/>
      <c r="W141" s="666"/>
      <c r="X141" s="666"/>
      <c r="Y141" s="666"/>
      <c r="Z141" s="666"/>
      <c r="AA141" s="666"/>
      <c r="AB141" s="666"/>
      <c r="AC141" s="666"/>
      <c r="AD141" s="666"/>
      <c r="AE141" s="666"/>
      <c r="AF141" s="666"/>
      <c r="AG141" s="666"/>
      <c r="AH141" s="666"/>
      <c r="AI141" s="666"/>
      <c r="AJ141" s="666"/>
      <c r="AK141" s="666"/>
      <c r="AL141" s="666"/>
      <c r="AM141" s="666"/>
      <c r="AN141" s="666"/>
      <c r="AO141" s="666"/>
      <c r="AP141" s="666"/>
      <c r="AQ141" s="666"/>
      <c r="AR141" s="666"/>
      <c r="AS141" s="666"/>
      <c r="AT141" s="666"/>
      <c r="AU141" s="666"/>
      <c r="AV141" s="666"/>
      <c r="AW141" s="666"/>
      <c r="AX141" s="666"/>
      <c r="AY141" s="666"/>
      <c r="AZ141" s="666"/>
    </row>
    <row r="142" spans="1:52" ht="12.75" customHeight="1" x14ac:dyDescent="0.2">
      <c r="A142" s="706" t="str">
        <f>'Kalkulation Herstellungskosten'!B235</f>
        <v>Kosten der Zertifizierung UZ 76</v>
      </c>
      <c r="B142" s="674">
        <f>'Kalkulation Herstellungskosten'!E235</f>
        <v>0</v>
      </c>
      <c r="C142" s="666"/>
      <c r="D142" s="86"/>
      <c r="E142" s="86"/>
      <c r="F142" s="86"/>
      <c r="G142" s="687">
        <f t="shared" ref="G142:G161" si="18">E142*F142</f>
        <v>0</v>
      </c>
      <c r="H142" s="86"/>
      <c r="I142" s="86"/>
      <c r="J142" s="687">
        <f t="shared" ref="J142:J161" si="19">H142*I142</f>
        <v>0</v>
      </c>
      <c r="K142" s="86"/>
      <c r="L142" s="86"/>
      <c r="M142" s="86"/>
      <c r="N142" s="86"/>
      <c r="O142" s="86"/>
      <c r="P142" s="86"/>
      <c r="Q142" s="86"/>
      <c r="R142" s="86"/>
      <c r="S142" s="86"/>
      <c r="T142" s="687">
        <f t="shared" si="17"/>
        <v>0</v>
      </c>
      <c r="U142" s="666"/>
      <c r="V142" s="666"/>
      <c r="W142" s="666"/>
      <c r="X142" s="666"/>
      <c r="Y142" s="666"/>
      <c r="Z142" s="666"/>
      <c r="AA142" s="666"/>
      <c r="AB142" s="666"/>
      <c r="AC142" s="666"/>
      <c r="AD142" s="666"/>
      <c r="AE142" s="666"/>
      <c r="AF142" s="666"/>
      <c r="AG142" s="666"/>
      <c r="AH142" s="666"/>
      <c r="AI142" s="666"/>
      <c r="AJ142" s="666"/>
      <c r="AK142" s="666"/>
      <c r="AL142" s="666"/>
      <c r="AM142" s="666"/>
      <c r="AN142" s="666"/>
      <c r="AO142" s="666"/>
      <c r="AP142" s="666"/>
      <c r="AQ142" s="666"/>
      <c r="AR142" s="666"/>
      <c r="AS142" s="666"/>
      <c r="AT142" s="666"/>
      <c r="AU142" s="666"/>
      <c r="AV142" s="666"/>
      <c r="AW142" s="666"/>
      <c r="AX142" s="666"/>
      <c r="AY142" s="666"/>
      <c r="AZ142" s="666"/>
    </row>
    <row r="143" spans="1:52" ht="12.75" customHeight="1" x14ac:dyDescent="0.2">
      <c r="A143" s="706">
        <f>'Kalkulation Herstellungskosten'!B236</f>
        <v>0</v>
      </c>
      <c r="B143" s="674">
        <f>'Kalkulation Herstellungskosten'!E236</f>
        <v>0</v>
      </c>
      <c r="C143" s="666"/>
      <c r="D143" s="86"/>
      <c r="E143" s="86"/>
      <c r="F143" s="86"/>
      <c r="G143" s="687">
        <f t="shared" si="18"/>
        <v>0</v>
      </c>
      <c r="H143" s="86"/>
      <c r="I143" s="86"/>
      <c r="J143" s="687">
        <f t="shared" si="19"/>
        <v>0</v>
      </c>
      <c r="K143" s="86"/>
      <c r="L143" s="86"/>
      <c r="M143" s="86"/>
      <c r="N143" s="86"/>
      <c r="O143" s="86"/>
      <c r="P143" s="86"/>
      <c r="Q143" s="86"/>
      <c r="R143" s="86"/>
      <c r="S143" s="86"/>
      <c r="T143" s="687">
        <f t="shared" si="17"/>
        <v>0</v>
      </c>
      <c r="U143" s="666"/>
      <c r="V143" s="666"/>
      <c r="W143" s="666"/>
      <c r="X143" s="666"/>
      <c r="Y143" s="666"/>
      <c r="Z143" s="666"/>
      <c r="AA143" s="666"/>
      <c r="AB143" s="666"/>
      <c r="AC143" s="666"/>
      <c r="AD143" s="666"/>
      <c r="AE143" s="666"/>
      <c r="AF143" s="666"/>
      <c r="AG143" s="666"/>
      <c r="AH143" s="666"/>
      <c r="AI143" s="666"/>
      <c r="AJ143" s="666"/>
      <c r="AK143" s="666"/>
      <c r="AL143" s="666"/>
      <c r="AM143" s="666"/>
      <c r="AN143" s="666"/>
      <c r="AO143" s="666"/>
      <c r="AP143" s="666"/>
      <c r="AQ143" s="666"/>
      <c r="AR143" s="666"/>
      <c r="AS143" s="666"/>
      <c r="AT143" s="666"/>
      <c r="AU143" s="666"/>
      <c r="AV143" s="666"/>
      <c r="AW143" s="666"/>
      <c r="AX143" s="666"/>
      <c r="AY143" s="666"/>
      <c r="AZ143" s="666"/>
    </row>
    <row r="144" spans="1:52" ht="12.75" customHeight="1" x14ac:dyDescent="0.2">
      <c r="A144" s="706">
        <f>'Kalkulation Herstellungskosten'!B237</f>
        <v>0</v>
      </c>
      <c r="B144" s="674">
        <f>'Kalkulation Herstellungskosten'!E237</f>
        <v>0</v>
      </c>
      <c r="C144" s="666"/>
      <c r="D144" s="86"/>
      <c r="E144" s="86"/>
      <c r="F144" s="86"/>
      <c r="G144" s="687">
        <f t="shared" si="18"/>
        <v>0</v>
      </c>
      <c r="H144" s="86"/>
      <c r="I144" s="86"/>
      <c r="J144" s="687">
        <f t="shared" si="19"/>
        <v>0</v>
      </c>
      <c r="K144" s="86"/>
      <c r="L144" s="86"/>
      <c r="M144" s="86"/>
      <c r="N144" s="86"/>
      <c r="O144" s="86"/>
      <c r="P144" s="86"/>
      <c r="Q144" s="86"/>
      <c r="R144" s="86"/>
      <c r="S144" s="86"/>
      <c r="T144" s="687">
        <f t="shared" si="17"/>
        <v>0</v>
      </c>
      <c r="U144" s="666"/>
      <c r="V144" s="666"/>
      <c r="W144" s="666"/>
      <c r="X144" s="666"/>
      <c r="Y144" s="666"/>
      <c r="Z144" s="666"/>
      <c r="AA144" s="666"/>
      <c r="AB144" s="666"/>
      <c r="AC144" s="666"/>
      <c r="AD144" s="666"/>
      <c r="AE144" s="666"/>
      <c r="AF144" s="666"/>
      <c r="AG144" s="666"/>
      <c r="AH144" s="666"/>
      <c r="AI144" s="666"/>
      <c r="AJ144" s="666"/>
      <c r="AK144" s="666"/>
      <c r="AL144" s="666"/>
      <c r="AM144" s="666"/>
      <c r="AN144" s="666"/>
      <c r="AO144" s="666"/>
      <c r="AP144" s="666"/>
      <c r="AQ144" s="666"/>
      <c r="AR144" s="666"/>
      <c r="AS144" s="666"/>
      <c r="AT144" s="666"/>
      <c r="AU144" s="666"/>
      <c r="AV144" s="666"/>
      <c r="AW144" s="666"/>
      <c r="AX144" s="666"/>
      <c r="AY144" s="666"/>
      <c r="AZ144" s="666"/>
    </row>
    <row r="145" spans="1:52" ht="12.75" customHeight="1" x14ac:dyDescent="0.2">
      <c r="A145" s="706">
        <f>'Kalkulation Herstellungskosten'!B238</f>
        <v>0</v>
      </c>
      <c r="B145" s="674">
        <f>'Kalkulation Herstellungskosten'!E238</f>
        <v>0</v>
      </c>
      <c r="C145" s="666"/>
      <c r="D145" s="86"/>
      <c r="E145" s="86"/>
      <c r="F145" s="86"/>
      <c r="G145" s="687">
        <f t="shared" si="18"/>
        <v>0</v>
      </c>
      <c r="H145" s="86"/>
      <c r="I145" s="86"/>
      <c r="J145" s="687">
        <f t="shared" si="19"/>
        <v>0</v>
      </c>
      <c r="K145" s="86"/>
      <c r="L145" s="86"/>
      <c r="M145" s="86"/>
      <c r="N145" s="86"/>
      <c r="O145" s="86"/>
      <c r="P145" s="86"/>
      <c r="Q145" s="86"/>
      <c r="R145" s="86"/>
      <c r="S145" s="86"/>
      <c r="T145" s="687">
        <f t="shared" si="17"/>
        <v>0</v>
      </c>
      <c r="U145" s="666"/>
      <c r="V145" s="666"/>
      <c r="W145" s="666"/>
      <c r="X145" s="666"/>
      <c r="Y145" s="666"/>
      <c r="Z145" s="666"/>
      <c r="AA145" s="666"/>
      <c r="AB145" s="666"/>
      <c r="AC145" s="666"/>
      <c r="AD145" s="666"/>
      <c r="AE145" s="666"/>
      <c r="AF145" s="666"/>
      <c r="AG145" s="666"/>
      <c r="AH145" s="666"/>
      <c r="AI145" s="666"/>
      <c r="AJ145" s="666"/>
      <c r="AK145" s="666"/>
      <c r="AL145" s="666"/>
      <c r="AM145" s="666"/>
      <c r="AN145" s="666"/>
      <c r="AO145" s="666"/>
      <c r="AP145" s="666"/>
      <c r="AQ145" s="666"/>
      <c r="AR145" s="666"/>
      <c r="AS145" s="666"/>
      <c r="AT145" s="666"/>
      <c r="AU145" s="666"/>
      <c r="AV145" s="666"/>
      <c r="AW145" s="666"/>
      <c r="AX145" s="666"/>
      <c r="AY145" s="666"/>
      <c r="AZ145" s="666"/>
    </row>
    <row r="146" spans="1:52" ht="12.75" customHeight="1" x14ac:dyDescent="0.2">
      <c r="A146" s="706">
        <f>'Kalkulation Herstellungskosten'!B239</f>
        <v>0</v>
      </c>
      <c r="B146" s="674">
        <f>'Kalkulation Herstellungskosten'!E239</f>
        <v>0</v>
      </c>
      <c r="C146" s="666"/>
      <c r="D146" s="86"/>
      <c r="E146" s="86"/>
      <c r="F146" s="86"/>
      <c r="G146" s="687">
        <f t="shared" si="18"/>
        <v>0</v>
      </c>
      <c r="H146" s="86"/>
      <c r="I146" s="86"/>
      <c r="J146" s="687">
        <f t="shared" si="19"/>
        <v>0</v>
      </c>
      <c r="K146" s="86"/>
      <c r="L146" s="86"/>
      <c r="M146" s="86"/>
      <c r="N146" s="86"/>
      <c r="O146" s="86"/>
      <c r="P146" s="86"/>
      <c r="Q146" s="86"/>
      <c r="R146" s="86"/>
      <c r="S146" s="86"/>
      <c r="T146" s="687">
        <f t="shared" si="17"/>
        <v>0</v>
      </c>
      <c r="U146" s="666"/>
      <c r="V146" s="666"/>
      <c r="W146" s="666"/>
      <c r="X146" s="666"/>
      <c r="Y146" s="666"/>
      <c r="Z146" s="666"/>
      <c r="AA146" s="666"/>
      <c r="AB146" s="666"/>
      <c r="AC146" s="666"/>
      <c r="AD146" s="666"/>
      <c r="AE146" s="666"/>
      <c r="AF146" s="666"/>
      <c r="AG146" s="666"/>
      <c r="AH146" s="666"/>
      <c r="AI146" s="666"/>
      <c r="AJ146" s="666"/>
      <c r="AK146" s="666"/>
      <c r="AL146" s="666"/>
      <c r="AM146" s="666"/>
      <c r="AN146" s="666"/>
      <c r="AO146" s="666"/>
      <c r="AP146" s="666"/>
      <c r="AQ146" s="666"/>
      <c r="AR146" s="666"/>
      <c r="AS146" s="666"/>
      <c r="AT146" s="666"/>
      <c r="AU146" s="666"/>
      <c r="AV146" s="666"/>
      <c r="AW146" s="666"/>
      <c r="AX146" s="666"/>
      <c r="AY146" s="666"/>
      <c r="AZ146" s="666"/>
    </row>
    <row r="147" spans="1:52" ht="12.75" customHeight="1" x14ac:dyDescent="0.2">
      <c r="A147" s="706">
        <f>'Kalkulation Herstellungskosten'!B240</f>
        <v>0</v>
      </c>
      <c r="B147" s="674">
        <f>'Kalkulation Herstellungskosten'!E240</f>
        <v>0</v>
      </c>
      <c r="C147" s="666"/>
      <c r="D147" s="86"/>
      <c r="E147" s="86"/>
      <c r="F147" s="86"/>
      <c r="G147" s="687">
        <f t="shared" si="18"/>
        <v>0</v>
      </c>
      <c r="H147" s="86"/>
      <c r="I147" s="86"/>
      <c r="J147" s="687">
        <f t="shared" si="19"/>
        <v>0</v>
      </c>
      <c r="K147" s="86"/>
      <c r="L147" s="86"/>
      <c r="M147" s="86"/>
      <c r="N147" s="86"/>
      <c r="O147" s="86"/>
      <c r="P147" s="86"/>
      <c r="Q147" s="86"/>
      <c r="R147" s="86"/>
      <c r="S147" s="86"/>
      <c r="T147" s="687">
        <f t="shared" si="17"/>
        <v>0</v>
      </c>
      <c r="U147" s="666"/>
      <c r="V147" s="666"/>
      <c r="W147" s="666"/>
      <c r="X147" s="666"/>
      <c r="Y147" s="666"/>
      <c r="Z147" s="666"/>
      <c r="AA147" s="666"/>
      <c r="AB147" s="666"/>
      <c r="AC147" s="666"/>
      <c r="AD147" s="666"/>
      <c r="AE147" s="666"/>
      <c r="AF147" s="666"/>
      <c r="AG147" s="666"/>
      <c r="AH147" s="666"/>
      <c r="AI147" s="666"/>
      <c r="AJ147" s="666"/>
      <c r="AK147" s="666"/>
      <c r="AL147" s="666"/>
      <c r="AM147" s="666"/>
      <c r="AN147" s="666"/>
      <c r="AO147" s="666"/>
      <c r="AP147" s="666"/>
      <c r="AQ147" s="666"/>
      <c r="AR147" s="666"/>
      <c r="AS147" s="666"/>
      <c r="AT147" s="666"/>
      <c r="AU147" s="666"/>
      <c r="AV147" s="666"/>
      <c r="AW147" s="666"/>
      <c r="AX147" s="666"/>
      <c r="AY147" s="666"/>
      <c r="AZ147" s="666"/>
    </row>
    <row r="148" spans="1:52" ht="12.75" customHeight="1" x14ac:dyDescent="0.2">
      <c r="A148" s="706">
        <f>'Kalkulation Herstellungskosten'!B241</f>
        <v>0</v>
      </c>
      <c r="B148" s="674">
        <f>'Kalkulation Herstellungskosten'!E241</f>
        <v>0</v>
      </c>
      <c r="C148" s="666"/>
      <c r="D148" s="86"/>
      <c r="E148" s="86"/>
      <c r="F148" s="86"/>
      <c r="G148" s="687">
        <f t="shared" si="18"/>
        <v>0</v>
      </c>
      <c r="H148" s="86"/>
      <c r="I148" s="86"/>
      <c r="J148" s="687">
        <f t="shared" si="19"/>
        <v>0</v>
      </c>
      <c r="K148" s="86"/>
      <c r="L148" s="86"/>
      <c r="M148" s="86"/>
      <c r="N148" s="86"/>
      <c r="O148" s="86"/>
      <c r="P148" s="86"/>
      <c r="Q148" s="86"/>
      <c r="R148" s="86"/>
      <c r="S148" s="86"/>
      <c r="T148" s="687">
        <f t="shared" si="17"/>
        <v>0</v>
      </c>
      <c r="U148" s="666"/>
      <c r="V148" s="666"/>
      <c r="W148" s="666"/>
      <c r="X148" s="666"/>
      <c r="Y148" s="666"/>
      <c r="Z148" s="666"/>
      <c r="AA148" s="666"/>
      <c r="AB148" s="666"/>
      <c r="AC148" s="666"/>
      <c r="AD148" s="666"/>
      <c r="AE148" s="666"/>
      <c r="AF148" s="666"/>
      <c r="AG148" s="666"/>
      <c r="AH148" s="666"/>
      <c r="AI148" s="666"/>
      <c r="AJ148" s="666"/>
      <c r="AK148" s="666"/>
      <c r="AL148" s="666"/>
      <c r="AM148" s="666"/>
      <c r="AN148" s="666"/>
      <c r="AO148" s="666"/>
      <c r="AP148" s="666"/>
      <c r="AQ148" s="666"/>
      <c r="AR148" s="666"/>
      <c r="AS148" s="666"/>
      <c r="AT148" s="666"/>
      <c r="AU148" s="666"/>
      <c r="AV148" s="666"/>
      <c r="AW148" s="666"/>
      <c r="AX148" s="666"/>
      <c r="AY148" s="666"/>
      <c r="AZ148" s="666"/>
    </row>
    <row r="149" spans="1:52" ht="12.75" customHeight="1" x14ac:dyDescent="0.2">
      <c r="A149" s="706">
        <f>'Kalkulation Herstellungskosten'!B242</f>
        <v>0</v>
      </c>
      <c r="B149" s="674">
        <f>'Kalkulation Herstellungskosten'!E242</f>
        <v>0</v>
      </c>
      <c r="C149" s="666"/>
      <c r="D149" s="86"/>
      <c r="E149" s="86"/>
      <c r="F149" s="86"/>
      <c r="G149" s="687">
        <f t="shared" si="18"/>
        <v>0</v>
      </c>
      <c r="H149" s="86"/>
      <c r="I149" s="86"/>
      <c r="J149" s="687">
        <f t="shared" si="19"/>
        <v>0</v>
      </c>
      <c r="K149" s="86"/>
      <c r="L149" s="86"/>
      <c r="M149" s="86"/>
      <c r="N149" s="86"/>
      <c r="O149" s="86"/>
      <c r="P149" s="86"/>
      <c r="Q149" s="86"/>
      <c r="R149" s="86"/>
      <c r="S149" s="86"/>
      <c r="T149" s="687">
        <f t="shared" si="17"/>
        <v>0</v>
      </c>
      <c r="U149" s="666"/>
      <c r="V149" s="666"/>
      <c r="W149" s="66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row>
    <row r="150" spans="1:52" ht="12.75" customHeight="1" x14ac:dyDescent="0.2">
      <c r="A150" s="706">
        <f>'Kalkulation Herstellungskosten'!B243</f>
        <v>0</v>
      </c>
      <c r="B150" s="674">
        <f>'Kalkulation Herstellungskosten'!E243</f>
        <v>0</v>
      </c>
      <c r="C150" s="666"/>
      <c r="D150" s="86"/>
      <c r="E150" s="86"/>
      <c r="F150" s="86"/>
      <c r="G150" s="687">
        <f t="shared" si="18"/>
        <v>0</v>
      </c>
      <c r="H150" s="86"/>
      <c r="I150" s="86"/>
      <c r="J150" s="687">
        <f t="shared" si="19"/>
        <v>0</v>
      </c>
      <c r="K150" s="86"/>
      <c r="L150" s="86"/>
      <c r="M150" s="86"/>
      <c r="N150" s="86"/>
      <c r="O150" s="86"/>
      <c r="P150" s="86"/>
      <c r="Q150" s="86"/>
      <c r="R150" s="86"/>
      <c r="S150" s="86"/>
      <c r="T150" s="687">
        <f t="shared" si="17"/>
        <v>0</v>
      </c>
      <c r="U150" s="666"/>
      <c r="V150" s="666"/>
      <c r="W150" s="666"/>
      <c r="X150" s="666"/>
      <c r="Y150" s="666"/>
      <c r="Z150" s="666"/>
      <c r="AA150" s="666"/>
      <c r="AB150" s="666"/>
      <c r="AC150" s="666"/>
      <c r="AD150" s="666"/>
      <c r="AE150" s="666"/>
      <c r="AF150" s="666"/>
      <c r="AG150" s="666"/>
      <c r="AH150" s="666"/>
      <c r="AI150" s="666"/>
      <c r="AJ150" s="666"/>
      <c r="AK150" s="666"/>
      <c r="AL150" s="666"/>
      <c r="AM150" s="666"/>
      <c r="AN150" s="666"/>
      <c r="AO150" s="666"/>
      <c r="AP150" s="666"/>
      <c r="AQ150" s="666"/>
      <c r="AR150" s="666"/>
      <c r="AS150" s="666"/>
      <c r="AT150" s="666"/>
      <c r="AU150" s="666"/>
      <c r="AV150" s="666"/>
      <c r="AW150" s="666"/>
      <c r="AX150" s="666"/>
      <c r="AY150" s="666"/>
      <c r="AZ150" s="666"/>
    </row>
    <row r="151" spans="1:52" ht="12.75" customHeight="1" x14ac:dyDescent="0.2">
      <c r="A151" s="706">
        <f>'Kalkulation Herstellungskosten'!B244</f>
        <v>0</v>
      </c>
      <c r="B151" s="674">
        <f>'Kalkulation Herstellungskosten'!E244</f>
        <v>0</v>
      </c>
      <c r="C151" s="666"/>
      <c r="D151" s="86"/>
      <c r="E151" s="86"/>
      <c r="F151" s="86"/>
      <c r="G151" s="687">
        <f t="shared" si="18"/>
        <v>0</v>
      </c>
      <c r="H151" s="86"/>
      <c r="I151" s="86"/>
      <c r="J151" s="687">
        <f t="shared" si="19"/>
        <v>0</v>
      </c>
      <c r="K151" s="86"/>
      <c r="L151" s="86"/>
      <c r="M151" s="86"/>
      <c r="N151" s="86"/>
      <c r="O151" s="86"/>
      <c r="P151" s="86"/>
      <c r="Q151" s="86"/>
      <c r="R151" s="86"/>
      <c r="S151" s="86"/>
      <c r="T151" s="687">
        <f t="shared" si="17"/>
        <v>0</v>
      </c>
      <c r="U151" s="666"/>
      <c r="V151" s="666"/>
      <c r="W151" s="666"/>
      <c r="X151" s="666"/>
      <c r="Y151" s="666"/>
      <c r="Z151" s="666"/>
      <c r="AA151" s="666"/>
      <c r="AB151" s="666"/>
      <c r="AC151" s="666"/>
      <c r="AD151" s="666"/>
      <c r="AE151" s="666"/>
      <c r="AF151" s="666"/>
      <c r="AG151" s="666"/>
      <c r="AH151" s="666"/>
      <c r="AI151" s="666"/>
      <c r="AJ151" s="666"/>
      <c r="AK151" s="666"/>
      <c r="AL151" s="666"/>
      <c r="AM151" s="666"/>
      <c r="AN151" s="666"/>
      <c r="AO151" s="666"/>
      <c r="AP151" s="666"/>
      <c r="AQ151" s="666"/>
      <c r="AR151" s="666"/>
      <c r="AS151" s="666"/>
      <c r="AT151" s="666"/>
      <c r="AU151" s="666"/>
      <c r="AV151" s="666"/>
      <c r="AW151" s="666"/>
      <c r="AX151" s="666"/>
      <c r="AY151" s="666"/>
      <c r="AZ151" s="666"/>
    </row>
    <row r="152" spans="1:52" ht="12.75" customHeight="1" x14ac:dyDescent="0.2">
      <c r="A152" s="706">
        <f>'Kalkulation Herstellungskosten'!B245</f>
        <v>0</v>
      </c>
      <c r="B152" s="674">
        <f>'Kalkulation Herstellungskosten'!E245</f>
        <v>0</v>
      </c>
      <c r="C152" s="666"/>
      <c r="D152" s="86"/>
      <c r="E152" s="86"/>
      <c r="F152" s="86"/>
      <c r="G152" s="687">
        <f t="shared" si="18"/>
        <v>0</v>
      </c>
      <c r="H152" s="86"/>
      <c r="I152" s="86"/>
      <c r="J152" s="687">
        <f t="shared" si="19"/>
        <v>0</v>
      </c>
      <c r="K152" s="86"/>
      <c r="L152" s="86"/>
      <c r="M152" s="86"/>
      <c r="N152" s="86"/>
      <c r="O152" s="86"/>
      <c r="P152" s="86"/>
      <c r="Q152" s="86"/>
      <c r="R152" s="86"/>
      <c r="S152" s="86"/>
      <c r="T152" s="687">
        <f t="shared" si="17"/>
        <v>0</v>
      </c>
      <c r="U152" s="666"/>
      <c r="V152" s="666"/>
      <c r="W152" s="666"/>
      <c r="X152" s="666"/>
      <c r="Y152" s="666"/>
      <c r="Z152" s="666"/>
      <c r="AA152" s="666"/>
      <c r="AB152" s="666"/>
      <c r="AC152" s="666"/>
      <c r="AD152" s="666"/>
      <c r="AE152" s="666"/>
      <c r="AF152" s="666"/>
      <c r="AG152" s="666"/>
      <c r="AH152" s="666"/>
      <c r="AI152" s="666"/>
      <c r="AJ152" s="666"/>
      <c r="AK152" s="666"/>
      <c r="AL152" s="666"/>
      <c r="AM152" s="666"/>
      <c r="AN152" s="666"/>
      <c r="AO152" s="666"/>
      <c r="AP152" s="666"/>
      <c r="AQ152" s="666"/>
      <c r="AR152" s="666"/>
      <c r="AS152" s="666"/>
      <c r="AT152" s="666"/>
      <c r="AU152" s="666"/>
      <c r="AV152" s="666"/>
      <c r="AW152" s="666"/>
      <c r="AX152" s="666"/>
      <c r="AY152" s="666"/>
      <c r="AZ152" s="666"/>
    </row>
    <row r="153" spans="1:52" ht="12.75" customHeight="1" x14ac:dyDescent="0.2">
      <c r="A153" s="706">
        <f>'Kalkulation Herstellungskosten'!B246</f>
        <v>0</v>
      </c>
      <c r="B153" s="674">
        <f>'Kalkulation Herstellungskosten'!E246</f>
        <v>0</v>
      </c>
      <c r="C153" s="666"/>
      <c r="D153" s="86"/>
      <c r="E153" s="86"/>
      <c r="F153" s="86"/>
      <c r="G153" s="687">
        <f t="shared" si="18"/>
        <v>0</v>
      </c>
      <c r="H153" s="86"/>
      <c r="I153" s="86"/>
      <c r="J153" s="687">
        <f t="shared" si="19"/>
        <v>0</v>
      </c>
      <c r="K153" s="86"/>
      <c r="L153" s="86"/>
      <c r="M153" s="86"/>
      <c r="N153" s="86"/>
      <c r="O153" s="86"/>
      <c r="P153" s="86"/>
      <c r="Q153" s="86"/>
      <c r="R153" s="86"/>
      <c r="S153" s="86"/>
      <c r="T153" s="687">
        <f t="shared" si="17"/>
        <v>0</v>
      </c>
      <c r="U153" s="666"/>
      <c r="V153" s="666"/>
      <c r="W153" s="666"/>
      <c r="X153" s="666"/>
      <c r="Y153" s="666"/>
      <c r="Z153" s="666"/>
      <c r="AA153" s="666"/>
      <c r="AB153" s="666"/>
      <c r="AC153" s="666"/>
      <c r="AD153" s="666"/>
      <c r="AE153" s="666"/>
      <c r="AF153" s="666"/>
      <c r="AG153" s="666"/>
      <c r="AH153" s="666"/>
      <c r="AI153" s="666"/>
      <c r="AJ153" s="666"/>
      <c r="AK153" s="666"/>
      <c r="AL153" s="666"/>
      <c r="AM153" s="666"/>
      <c r="AN153" s="666"/>
      <c r="AO153" s="666"/>
      <c r="AP153" s="666"/>
      <c r="AQ153" s="666"/>
      <c r="AR153" s="666"/>
      <c r="AS153" s="666"/>
      <c r="AT153" s="666"/>
      <c r="AU153" s="666"/>
      <c r="AV153" s="666"/>
      <c r="AW153" s="666"/>
      <c r="AX153" s="666"/>
      <c r="AY153" s="666"/>
      <c r="AZ153" s="666"/>
    </row>
    <row r="154" spans="1:52" ht="12.75" customHeight="1" x14ac:dyDescent="0.2">
      <c r="A154" s="706">
        <f>'Kalkulation Herstellungskosten'!B247</f>
        <v>0</v>
      </c>
      <c r="B154" s="674">
        <f>'Kalkulation Herstellungskosten'!E247</f>
        <v>0</v>
      </c>
      <c r="C154" s="666"/>
      <c r="D154" s="86"/>
      <c r="E154" s="86"/>
      <c r="F154" s="86"/>
      <c r="G154" s="687">
        <f t="shared" si="18"/>
        <v>0</v>
      </c>
      <c r="H154" s="86"/>
      <c r="I154" s="86"/>
      <c r="J154" s="687">
        <f t="shared" si="19"/>
        <v>0</v>
      </c>
      <c r="K154" s="86"/>
      <c r="L154" s="86"/>
      <c r="M154" s="86"/>
      <c r="N154" s="86"/>
      <c r="O154" s="86"/>
      <c r="P154" s="86"/>
      <c r="Q154" s="86"/>
      <c r="R154" s="86"/>
      <c r="S154" s="86"/>
      <c r="T154" s="687">
        <f t="shared" si="17"/>
        <v>0</v>
      </c>
      <c r="U154" s="666"/>
      <c r="V154" s="666"/>
      <c r="W154" s="666"/>
      <c r="X154" s="666"/>
      <c r="Y154" s="666"/>
      <c r="Z154" s="666"/>
      <c r="AA154" s="666"/>
      <c r="AB154" s="666"/>
      <c r="AC154" s="666"/>
      <c r="AD154" s="666"/>
      <c r="AE154" s="666"/>
      <c r="AF154" s="666"/>
      <c r="AG154" s="666"/>
      <c r="AH154" s="666"/>
      <c r="AI154" s="666"/>
      <c r="AJ154" s="666"/>
      <c r="AK154" s="666"/>
      <c r="AL154" s="666"/>
      <c r="AM154" s="666"/>
      <c r="AN154" s="666"/>
      <c r="AO154" s="666"/>
      <c r="AP154" s="666"/>
      <c r="AQ154" s="666"/>
      <c r="AR154" s="666"/>
      <c r="AS154" s="666"/>
      <c r="AT154" s="666"/>
      <c r="AU154" s="666"/>
      <c r="AV154" s="666"/>
      <c r="AW154" s="666"/>
      <c r="AX154" s="666"/>
      <c r="AY154" s="666"/>
      <c r="AZ154" s="666"/>
    </row>
    <row r="155" spans="1:52" ht="12.75" customHeight="1" x14ac:dyDescent="0.2">
      <c r="A155" s="706">
        <f>'Kalkulation Herstellungskosten'!B248</f>
        <v>0</v>
      </c>
      <c r="B155" s="674">
        <f>'Kalkulation Herstellungskosten'!E248</f>
        <v>0</v>
      </c>
      <c r="C155" s="666"/>
      <c r="D155" s="86"/>
      <c r="E155" s="86"/>
      <c r="F155" s="86"/>
      <c r="G155" s="687">
        <f t="shared" si="18"/>
        <v>0</v>
      </c>
      <c r="H155" s="86"/>
      <c r="I155" s="86"/>
      <c r="J155" s="687">
        <f t="shared" si="19"/>
        <v>0</v>
      </c>
      <c r="K155" s="86"/>
      <c r="L155" s="86"/>
      <c r="M155" s="86"/>
      <c r="N155" s="86"/>
      <c r="O155" s="86"/>
      <c r="P155" s="86"/>
      <c r="Q155" s="86"/>
      <c r="R155" s="86"/>
      <c r="S155" s="86"/>
      <c r="T155" s="687">
        <f t="shared" si="17"/>
        <v>0</v>
      </c>
      <c r="U155" s="666"/>
      <c r="V155" s="666"/>
      <c r="W155" s="666"/>
      <c r="X155" s="666"/>
      <c r="Y155" s="666"/>
      <c r="Z155" s="666"/>
      <c r="AA155" s="666"/>
      <c r="AB155" s="666"/>
      <c r="AC155" s="666"/>
      <c r="AD155" s="666"/>
      <c r="AE155" s="666"/>
      <c r="AF155" s="666"/>
      <c r="AG155" s="666"/>
      <c r="AH155" s="666"/>
      <c r="AI155" s="666"/>
      <c r="AJ155" s="666"/>
      <c r="AK155" s="666"/>
      <c r="AL155" s="666"/>
      <c r="AM155" s="666"/>
      <c r="AN155" s="666"/>
      <c r="AO155" s="666"/>
      <c r="AP155" s="666"/>
      <c r="AQ155" s="666"/>
      <c r="AR155" s="666"/>
      <c r="AS155" s="666"/>
      <c r="AT155" s="666"/>
      <c r="AU155" s="666"/>
      <c r="AV155" s="666"/>
      <c r="AW155" s="666"/>
      <c r="AX155" s="666"/>
      <c r="AY155" s="666"/>
      <c r="AZ155" s="666"/>
    </row>
    <row r="156" spans="1:52" ht="12.75" customHeight="1" x14ac:dyDescent="0.2">
      <c r="A156" s="706">
        <f>'Kalkulation Herstellungskosten'!B249</f>
        <v>0</v>
      </c>
      <c r="B156" s="674">
        <f>'Kalkulation Herstellungskosten'!E249</f>
        <v>0</v>
      </c>
      <c r="C156" s="666"/>
      <c r="D156" s="86"/>
      <c r="E156" s="86"/>
      <c r="F156" s="86"/>
      <c r="G156" s="687">
        <f t="shared" si="18"/>
        <v>0</v>
      </c>
      <c r="H156" s="86"/>
      <c r="I156" s="86"/>
      <c r="J156" s="687">
        <f t="shared" si="19"/>
        <v>0</v>
      </c>
      <c r="K156" s="86"/>
      <c r="L156" s="86"/>
      <c r="M156" s="86"/>
      <c r="N156" s="86"/>
      <c r="O156" s="86"/>
      <c r="P156" s="86"/>
      <c r="Q156" s="86"/>
      <c r="R156" s="86"/>
      <c r="S156" s="86"/>
      <c r="T156" s="687">
        <f t="shared" si="17"/>
        <v>0</v>
      </c>
      <c r="U156" s="666"/>
      <c r="V156" s="666"/>
      <c r="W156" s="666"/>
      <c r="X156" s="666"/>
      <c r="Y156" s="666"/>
      <c r="Z156" s="666"/>
      <c r="AA156" s="666"/>
      <c r="AB156" s="666"/>
      <c r="AC156" s="666"/>
      <c r="AD156" s="666"/>
      <c r="AE156" s="666"/>
      <c r="AF156" s="666"/>
      <c r="AG156" s="666"/>
      <c r="AH156" s="666"/>
      <c r="AI156" s="666"/>
      <c r="AJ156" s="666"/>
      <c r="AK156" s="666"/>
      <c r="AL156" s="666"/>
      <c r="AM156" s="666"/>
      <c r="AN156" s="666"/>
      <c r="AO156" s="666"/>
      <c r="AP156" s="666"/>
      <c r="AQ156" s="666"/>
      <c r="AR156" s="666"/>
      <c r="AS156" s="666"/>
      <c r="AT156" s="666"/>
      <c r="AU156" s="666"/>
      <c r="AV156" s="666"/>
      <c r="AW156" s="666"/>
      <c r="AX156" s="666"/>
      <c r="AY156" s="666"/>
      <c r="AZ156" s="666"/>
    </row>
    <row r="157" spans="1:52" ht="12.75" customHeight="1" x14ac:dyDescent="0.2">
      <c r="A157" s="706">
        <f>'Kalkulation Herstellungskosten'!B250</f>
        <v>0</v>
      </c>
      <c r="B157" s="674">
        <f>'Kalkulation Herstellungskosten'!E250</f>
        <v>0</v>
      </c>
      <c r="C157" s="666"/>
      <c r="D157" s="86"/>
      <c r="E157" s="86"/>
      <c r="F157" s="86"/>
      <c r="G157" s="687">
        <f t="shared" si="18"/>
        <v>0</v>
      </c>
      <c r="H157" s="86"/>
      <c r="I157" s="86"/>
      <c r="J157" s="687">
        <f t="shared" si="19"/>
        <v>0</v>
      </c>
      <c r="K157" s="86"/>
      <c r="L157" s="86"/>
      <c r="M157" s="86"/>
      <c r="N157" s="86"/>
      <c r="O157" s="86"/>
      <c r="P157" s="86"/>
      <c r="Q157" s="86"/>
      <c r="R157" s="86"/>
      <c r="S157" s="86"/>
      <c r="T157" s="687">
        <f t="shared" si="17"/>
        <v>0</v>
      </c>
      <c r="U157" s="666"/>
      <c r="V157" s="666"/>
      <c r="W157" s="66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666"/>
      <c r="AX157" s="666"/>
      <c r="AY157" s="666"/>
      <c r="AZ157" s="666"/>
    </row>
    <row r="158" spans="1:52" ht="12.75" customHeight="1" x14ac:dyDescent="0.2">
      <c r="A158" s="706">
        <f>'Kalkulation Herstellungskosten'!B251</f>
        <v>0</v>
      </c>
      <c r="B158" s="674">
        <f>'Kalkulation Herstellungskosten'!E251</f>
        <v>0</v>
      </c>
      <c r="C158" s="666"/>
      <c r="D158" s="86"/>
      <c r="E158" s="86"/>
      <c r="F158" s="86"/>
      <c r="G158" s="687">
        <f t="shared" si="18"/>
        <v>0</v>
      </c>
      <c r="H158" s="86"/>
      <c r="I158" s="86"/>
      <c r="J158" s="687">
        <f t="shared" si="19"/>
        <v>0</v>
      </c>
      <c r="K158" s="86"/>
      <c r="L158" s="86"/>
      <c r="M158" s="86"/>
      <c r="N158" s="86"/>
      <c r="O158" s="86"/>
      <c r="P158" s="86"/>
      <c r="Q158" s="86"/>
      <c r="R158" s="86"/>
      <c r="S158" s="86"/>
      <c r="T158" s="687">
        <f t="shared" si="17"/>
        <v>0</v>
      </c>
      <c r="U158" s="666"/>
      <c r="V158" s="666"/>
      <c r="W158" s="666"/>
      <c r="X158" s="666"/>
      <c r="Y158" s="666"/>
      <c r="Z158" s="666"/>
      <c r="AA158" s="666"/>
      <c r="AB158" s="666"/>
      <c r="AC158" s="666"/>
      <c r="AD158" s="666"/>
      <c r="AE158" s="666"/>
      <c r="AF158" s="666"/>
      <c r="AG158" s="666"/>
      <c r="AH158" s="666"/>
      <c r="AI158" s="666"/>
      <c r="AJ158" s="666"/>
      <c r="AK158" s="666"/>
      <c r="AL158" s="666"/>
      <c r="AM158" s="666"/>
      <c r="AN158" s="666"/>
      <c r="AO158" s="666"/>
      <c r="AP158" s="666"/>
      <c r="AQ158" s="666"/>
      <c r="AR158" s="666"/>
      <c r="AS158" s="666"/>
      <c r="AT158" s="666"/>
      <c r="AU158" s="666"/>
      <c r="AV158" s="666"/>
      <c r="AW158" s="666"/>
      <c r="AX158" s="666"/>
      <c r="AY158" s="666"/>
      <c r="AZ158" s="666"/>
    </row>
    <row r="159" spans="1:52" ht="12.75" customHeight="1" x14ac:dyDescent="0.2">
      <c r="A159" s="706">
        <f>'Kalkulation Herstellungskosten'!B252</f>
        <v>0</v>
      </c>
      <c r="B159" s="674">
        <f>'Kalkulation Herstellungskosten'!E252</f>
        <v>0</v>
      </c>
      <c r="C159" s="666"/>
      <c r="D159" s="86"/>
      <c r="E159" s="86"/>
      <c r="F159" s="86"/>
      <c r="G159" s="687">
        <f t="shared" si="18"/>
        <v>0</v>
      </c>
      <c r="H159" s="86"/>
      <c r="I159" s="86"/>
      <c r="J159" s="687">
        <f t="shared" si="19"/>
        <v>0</v>
      </c>
      <c r="K159" s="86"/>
      <c r="L159" s="86"/>
      <c r="M159" s="86"/>
      <c r="N159" s="86"/>
      <c r="O159" s="86"/>
      <c r="P159" s="86"/>
      <c r="Q159" s="86"/>
      <c r="R159" s="86"/>
      <c r="S159" s="86"/>
      <c r="T159" s="687">
        <f t="shared" si="17"/>
        <v>0</v>
      </c>
      <c r="U159" s="666"/>
      <c r="V159" s="666"/>
      <c r="W159" s="666"/>
      <c r="X159" s="666"/>
      <c r="Y159" s="666"/>
      <c r="Z159" s="666"/>
      <c r="AA159" s="666"/>
      <c r="AB159" s="666"/>
      <c r="AC159" s="666"/>
      <c r="AD159" s="666"/>
      <c r="AE159" s="666"/>
      <c r="AF159" s="666"/>
      <c r="AG159" s="666"/>
      <c r="AH159" s="666"/>
      <c r="AI159" s="666"/>
      <c r="AJ159" s="666"/>
      <c r="AK159" s="666"/>
      <c r="AL159" s="666"/>
      <c r="AM159" s="666"/>
      <c r="AN159" s="666"/>
      <c r="AO159" s="666"/>
      <c r="AP159" s="666"/>
      <c r="AQ159" s="666"/>
      <c r="AR159" s="666"/>
      <c r="AS159" s="666"/>
      <c r="AT159" s="666"/>
      <c r="AU159" s="666"/>
      <c r="AV159" s="666"/>
      <c r="AW159" s="666"/>
      <c r="AX159" s="666"/>
      <c r="AY159" s="666"/>
      <c r="AZ159" s="666"/>
    </row>
    <row r="160" spans="1:52" ht="12.75" customHeight="1" x14ac:dyDescent="0.2">
      <c r="A160" s="706">
        <f>'Kalkulation Herstellungskosten'!B253</f>
        <v>0</v>
      </c>
      <c r="B160" s="674">
        <f>'Kalkulation Herstellungskosten'!E253</f>
        <v>0</v>
      </c>
      <c r="C160" s="666"/>
      <c r="D160" s="86"/>
      <c r="E160" s="86"/>
      <c r="F160" s="86"/>
      <c r="G160" s="687">
        <f t="shared" si="18"/>
        <v>0</v>
      </c>
      <c r="H160" s="86"/>
      <c r="I160" s="86"/>
      <c r="J160" s="687">
        <f t="shared" si="19"/>
        <v>0</v>
      </c>
      <c r="K160" s="86"/>
      <c r="L160" s="86"/>
      <c r="M160" s="86"/>
      <c r="N160" s="86"/>
      <c r="O160" s="86"/>
      <c r="P160" s="86"/>
      <c r="Q160" s="86"/>
      <c r="R160" s="86"/>
      <c r="S160" s="86"/>
      <c r="T160" s="687">
        <f t="shared" si="17"/>
        <v>0</v>
      </c>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c r="AQ160" s="666"/>
      <c r="AR160" s="666"/>
      <c r="AS160" s="666"/>
      <c r="AT160" s="666"/>
      <c r="AU160" s="666"/>
      <c r="AV160" s="666"/>
      <c r="AW160" s="666"/>
      <c r="AX160" s="666"/>
      <c r="AY160" s="666"/>
      <c r="AZ160" s="666"/>
    </row>
    <row r="161" spans="1:52" ht="12.75" customHeight="1" x14ac:dyDescent="0.2">
      <c r="A161" s="706">
        <f>'Kalkulation Herstellungskosten'!B254</f>
        <v>0</v>
      </c>
      <c r="B161" s="674">
        <f>'Kalkulation Herstellungskosten'!E254</f>
        <v>0</v>
      </c>
      <c r="C161" s="666"/>
      <c r="D161" s="86"/>
      <c r="E161" s="86"/>
      <c r="F161" s="86"/>
      <c r="G161" s="687">
        <f t="shared" si="18"/>
        <v>0</v>
      </c>
      <c r="H161" s="86"/>
      <c r="I161" s="86"/>
      <c r="J161" s="687">
        <f t="shared" si="19"/>
        <v>0</v>
      </c>
      <c r="K161" s="86"/>
      <c r="L161" s="86"/>
      <c r="M161" s="86"/>
      <c r="N161" s="86"/>
      <c r="O161" s="86"/>
      <c r="P161" s="86"/>
      <c r="Q161" s="86"/>
      <c r="R161" s="86"/>
      <c r="S161" s="86"/>
      <c r="T161" s="687">
        <f t="shared" si="17"/>
        <v>0</v>
      </c>
      <c r="U161" s="666"/>
      <c r="V161" s="666"/>
      <c r="W161" s="666"/>
      <c r="X161" s="666"/>
      <c r="Y161" s="666"/>
      <c r="Z161" s="666"/>
      <c r="AA161" s="666"/>
      <c r="AB161" s="666"/>
      <c r="AC161" s="666"/>
      <c r="AD161" s="666"/>
      <c r="AE161" s="666"/>
      <c r="AF161" s="666"/>
      <c r="AG161" s="666"/>
      <c r="AH161" s="666"/>
      <c r="AI161" s="666"/>
      <c r="AJ161" s="666"/>
      <c r="AK161" s="666"/>
      <c r="AL161" s="666"/>
      <c r="AM161" s="666"/>
      <c r="AN161" s="666"/>
      <c r="AO161" s="666"/>
      <c r="AP161" s="666"/>
      <c r="AQ161" s="666"/>
      <c r="AR161" s="666"/>
      <c r="AS161" s="666"/>
      <c r="AT161" s="666"/>
      <c r="AU161" s="666"/>
      <c r="AV161" s="666"/>
      <c r="AW161" s="666"/>
      <c r="AX161" s="666"/>
      <c r="AY161" s="666"/>
      <c r="AZ161" s="666"/>
    </row>
    <row r="162" spans="1:52" ht="12.75" customHeight="1" x14ac:dyDescent="0.2">
      <c r="A162" s="706">
        <f>'Kalkulation Herstellungskosten'!B255</f>
        <v>0</v>
      </c>
      <c r="B162" s="674">
        <f>'Kalkulation Herstellungskosten'!E255</f>
        <v>0</v>
      </c>
      <c r="C162" s="666"/>
      <c r="D162" s="86"/>
      <c r="E162" s="86"/>
      <c r="F162" s="86"/>
      <c r="G162" s="687">
        <f t="shared" ref="G162:G164" si="20">E162*F162</f>
        <v>0</v>
      </c>
      <c r="H162" s="86"/>
      <c r="I162" s="86"/>
      <c r="J162" s="687">
        <f t="shared" ref="J162:J164" si="21">H162*I162</f>
        <v>0</v>
      </c>
      <c r="K162" s="86"/>
      <c r="L162" s="86"/>
      <c r="M162" s="86"/>
      <c r="N162" s="86"/>
      <c r="O162" s="86"/>
      <c r="P162" s="86"/>
      <c r="Q162" s="86"/>
      <c r="R162" s="86"/>
      <c r="S162" s="86"/>
      <c r="T162" s="687">
        <f t="shared" ref="T162:T164" si="22">R162*S162</f>
        <v>0</v>
      </c>
      <c r="U162" s="666"/>
      <c r="V162" s="666"/>
      <c r="W162" s="666"/>
      <c r="X162" s="666"/>
      <c r="Y162" s="666"/>
      <c r="Z162" s="666"/>
      <c r="AA162" s="666"/>
      <c r="AB162" s="666"/>
      <c r="AC162" s="666"/>
      <c r="AD162" s="666"/>
      <c r="AE162" s="666"/>
      <c r="AF162" s="666"/>
      <c r="AG162" s="666"/>
      <c r="AH162" s="666"/>
      <c r="AI162" s="666"/>
      <c r="AJ162" s="666"/>
      <c r="AK162" s="666"/>
      <c r="AL162" s="666"/>
      <c r="AM162" s="666"/>
      <c r="AN162" s="666"/>
      <c r="AO162" s="666"/>
      <c r="AP162" s="666"/>
      <c r="AQ162" s="666"/>
      <c r="AR162" s="666"/>
      <c r="AS162" s="666"/>
      <c r="AT162" s="666"/>
      <c r="AU162" s="666"/>
      <c r="AV162" s="666"/>
      <c r="AW162" s="666"/>
      <c r="AX162" s="666"/>
      <c r="AY162" s="666"/>
      <c r="AZ162" s="666"/>
    </row>
    <row r="163" spans="1:52" ht="12.75" customHeight="1" x14ac:dyDescent="0.2">
      <c r="A163" s="706">
        <f>'Kalkulation Herstellungskosten'!B256</f>
        <v>0</v>
      </c>
      <c r="B163" s="674">
        <f>'Kalkulation Herstellungskosten'!E256</f>
        <v>0</v>
      </c>
      <c r="C163" s="666"/>
      <c r="D163" s="86"/>
      <c r="E163" s="86"/>
      <c r="F163" s="86"/>
      <c r="G163" s="687">
        <f t="shared" si="20"/>
        <v>0</v>
      </c>
      <c r="H163" s="86"/>
      <c r="I163" s="86"/>
      <c r="J163" s="687">
        <f t="shared" si="21"/>
        <v>0</v>
      </c>
      <c r="K163" s="86"/>
      <c r="L163" s="86"/>
      <c r="M163" s="86"/>
      <c r="N163" s="86"/>
      <c r="O163" s="86"/>
      <c r="P163" s="86"/>
      <c r="Q163" s="86"/>
      <c r="R163" s="86"/>
      <c r="S163" s="86"/>
      <c r="T163" s="687">
        <f t="shared" si="22"/>
        <v>0</v>
      </c>
      <c r="U163" s="666"/>
      <c r="V163" s="666"/>
      <c r="W163" s="666"/>
      <c r="X163" s="666"/>
      <c r="Y163" s="666"/>
      <c r="Z163" s="666"/>
      <c r="AA163" s="666"/>
      <c r="AB163" s="666"/>
      <c r="AC163" s="666"/>
      <c r="AD163" s="666"/>
      <c r="AE163" s="666"/>
      <c r="AF163" s="666"/>
      <c r="AG163" s="666"/>
      <c r="AH163" s="666"/>
      <c r="AI163" s="666"/>
      <c r="AJ163" s="666"/>
      <c r="AK163" s="666"/>
      <c r="AL163" s="666"/>
      <c r="AM163" s="666"/>
      <c r="AN163" s="666"/>
      <c r="AO163" s="666"/>
      <c r="AP163" s="666"/>
      <c r="AQ163" s="666"/>
      <c r="AR163" s="666"/>
      <c r="AS163" s="666"/>
      <c r="AT163" s="666"/>
      <c r="AU163" s="666"/>
      <c r="AV163" s="666"/>
      <c r="AW163" s="666"/>
      <c r="AX163" s="666"/>
      <c r="AY163" s="666"/>
      <c r="AZ163" s="666"/>
    </row>
    <row r="164" spans="1:52" ht="12.75" customHeight="1" x14ac:dyDescent="0.2">
      <c r="A164" s="706">
        <f>'Kalkulation Herstellungskosten'!B257</f>
        <v>0</v>
      </c>
      <c r="B164" s="674">
        <f>'Kalkulation Herstellungskosten'!E257</f>
        <v>0</v>
      </c>
      <c r="C164" s="666"/>
      <c r="D164" s="86"/>
      <c r="E164" s="86"/>
      <c r="F164" s="86"/>
      <c r="G164" s="687">
        <f t="shared" si="20"/>
        <v>0</v>
      </c>
      <c r="H164" s="86"/>
      <c r="I164" s="86"/>
      <c r="J164" s="687">
        <f t="shared" si="21"/>
        <v>0</v>
      </c>
      <c r="K164" s="86"/>
      <c r="L164" s="86"/>
      <c r="M164" s="86"/>
      <c r="N164" s="86"/>
      <c r="O164" s="86"/>
      <c r="P164" s="86"/>
      <c r="Q164" s="86"/>
      <c r="R164" s="86"/>
      <c r="S164" s="86"/>
      <c r="T164" s="687">
        <f t="shared" si="22"/>
        <v>0</v>
      </c>
      <c r="U164" s="666"/>
      <c r="V164" s="666"/>
      <c r="W164" s="666"/>
      <c r="X164" s="666"/>
      <c r="Y164" s="666"/>
      <c r="Z164" s="666"/>
      <c r="AA164" s="666"/>
      <c r="AB164" s="666"/>
      <c r="AC164" s="666"/>
      <c r="AD164" s="666"/>
      <c r="AE164" s="666"/>
      <c r="AF164" s="666"/>
      <c r="AG164" s="666"/>
      <c r="AH164" s="666"/>
      <c r="AI164" s="666"/>
      <c r="AJ164" s="666"/>
      <c r="AK164" s="666"/>
      <c r="AL164" s="666"/>
      <c r="AM164" s="666"/>
      <c r="AN164" s="666"/>
      <c r="AO164" s="666"/>
      <c r="AP164" s="666"/>
      <c r="AQ164" s="666"/>
      <c r="AR164" s="666"/>
      <c r="AS164" s="666"/>
      <c r="AT164" s="666"/>
      <c r="AU164" s="666"/>
      <c r="AV164" s="666"/>
      <c r="AW164" s="666"/>
      <c r="AX164" s="666"/>
      <c r="AY164" s="666"/>
      <c r="AZ164" s="666"/>
    </row>
    <row r="165" spans="1:52" ht="12.75" customHeight="1" x14ac:dyDescent="0.2">
      <c r="A165" s="706">
        <f>'Kalkulation Herstellungskosten'!B258</f>
        <v>0</v>
      </c>
      <c r="B165" s="674">
        <f>'Kalkulation Herstellungskosten'!E258</f>
        <v>0</v>
      </c>
      <c r="C165" s="666"/>
      <c r="D165" s="86"/>
      <c r="E165" s="86"/>
      <c r="F165" s="86"/>
      <c r="G165" s="687"/>
      <c r="H165" s="86"/>
      <c r="I165" s="86"/>
      <c r="J165" s="687"/>
      <c r="K165" s="86"/>
      <c r="L165" s="86"/>
      <c r="M165" s="86"/>
      <c r="N165" s="86"/>
      <c r="O165" s="86"/>
      <c r="P165" s="86"/>
      <c r="Q165" s="86"/>
      <c r="R165" s="86"/>
      <c r="S165" s="86"/>
      <c r="T165" s="687"/>
      <c r="U165" s="666"/>
      <c r="V165" s="666"/>
      <c r="W165" s="666"/>
      <c r="X165" s="666"/>
      <c r="Y165" s="666"/>
      <c r="Z165" s="666"/>
      <c r="AA165" s="666"/>
      <c r="AB165" s="666"/>
      <c r="AC165" s="666"/>
      <c r="AD165" s="666"/>
      <c r="AE165" s="666"/>
      <c r="AF165" s="666"/>
      <c r="AG165" s="666"/>
      <c r="AH165" s="666"/>
      <c r="AI165" s="666"/>
      <c r="AJ165" s="666"/>
      <c r="AK165" s="666"/>
      <c r="AL165" s="666"/>
      <c r="AM165" s="666"/>
      <c r="AN165" s="666"/>
      <c r="AO165" s="666"/>
      <c r="AP165" s="666"/>
      <c r="AQ165" s="666"/>
      <c r="AR165" s="666"/>
      <c r="AS165" s="666"/>
      <c r="AT165" s="666"/>
      <c r="AU165" s="666"/>
      <c r="AV165" s="666"/>
      <c r="AW165" s="666"/>
      <c r="AX165" s="666"/>
      <c r="AY165" s="666"/>
      <c r="AZ165" s="666"/>
    </row>
    <row r="166" spans="1:52" ht="12.75" customHeight="1" x14ac:dyDescent="0.2">
      <c r="A166" s="706">
        <f>'Kalkulation Herstellungskosten'!B259</f>
        <v>0</v>
      </c>
      <c r="B166" s="674">
        <f>'Kalkulation Herstellungskosten'!E259</f>
        <v>0</v>
      </c>
      <c r="C166" s="666"/>
      <c r="D166" s="86"/>
      <c r="E166" s="86"/>
      <c r="F166" s="86"/>
      <c r="G166" s="687"/>
      <c r="H166" s="86"/>
      <c r="I166" s="86"/>
      <c r="J166" s="687"/>
      <c r="K166" s="86"/>
      <c r="L166" s="86"/>
      <c r="M166" s="86"/>
      <c r="N166" s="86"/>
      <c r="O166" s="86"/>
      <c r="P166" s="86"/>
      <c r="Q166" s="86"/>
      <c r="R166" s="86"/>
      <c r="S166" s="86"/>
      <c r="T166" s="687"/>
      <c r="U166" s="666"/>
      <c r="V166" s="666"/>
      <c r="W166" s="666"/>
      <c r="X166" s="666"/>
      <c r="Y166" s="666"/>
      <c r="Z166" s="666"/>
      <c r="AA166" s="666"/>
      <c r="AB166" s="666"/>
      <c r="AC166" s="666"/>
      <c r="AD166" s="666"/>
      <c r="AE166" s="666"/>
      <c r="AF166" s="666"/>
      <c r="AG166" s="666"/>
      <c r="AH166" s="666"/>
      <c r="AI166" s="666"/>
      <c r="AJ166" s="666"/>
      <c r="AK166" s="666"/>
      <c r="AL166" s="666"/>
      <c r="AM166" s="666"/>
      <c r="AN166" s="666"/>
      <c r="AO166" s="666"/>
      <c r="AP166" s="666"/>
      <c r="AQ166" s="666"/>
      <c r="AR166" s="666"/>
      <c r="AS166" s="666"/>
      <c r="AT166" s="666"/>
      <c r="AU166" s="666"/>
      <c r="AV166" s="666"/>
      <c r="AW166" s="666"/>
      <c r="AX166" s="666"/>
      <c r="AY166" s="666"/>
      <c r="AZ166" s="666"/>
    </row>
    <row r="167" spans="1:52" ht="12.75" customHeight="1" x14ac:dyDescent="0.2">
      <c r="A167" s="706">
        <f>'Kalkulation Herstellungskosten'!B260</f>
        <v>0</v>
      </c>
      <c r="B167" s="674">
        <f>'Kalkulation Herstellungskosten'!E260</f>
        <v>0</v>
      </c>
      <c r="C167" s="666"/>
      <c r="D167" s="86"/>
      <c r="E167" s="86"/>
      <c r="F167" s="86"/>
      <c r="G167" s="687"/>
      <c r="H167" s="86"/>
      <c r="I167" s="86"/>
      <c r="J167" s="687"/>
      <c r="K167" s="86"/>
      <c r="L167" s="86"/>
      <c r="M167" s="86"/>
      <c r="N167" s="86"/>
      <c r="O167" s="86"/>
      <c r="P167" s="86"/>
      <c r="Q167" s="86"/>
      <c r="R167" s="86"/>
      <c r="S167" s="86"/>
      <c r="T167" s="687"/>
      <c r="U167" s="666"/>
      <c r="V167" s="666"/>
      <c r="W167" s="666"/>
      <c r="X167" s="666"/>
      <c r="Y167" s="666"/>
      <c r="Z167" s="666"/>
      <c r="AA167" s="666"/>
      <c r="AB167" s="666"/>
      <c r="AC167" s="666"/>
      <c r="AD167" s="666"/>
      <c r="AE167" s="666"/>
      <c r="AF167" s="666"/>
      <c r="AG167" s="666"/>
      <c r="AH167" s="666"/>
      <c r="AI167" s="666"/>
      <c r="AJ167" s="666"/>
      <c r="AK167" s="666"/>
      <c r="AL167" s="666"/>
      <c r="AM167" s="666"/>
      <c r="AN167" s="666"/>
      <c r="AO167" s="666"/>
      <c r="AP167" s="666"/>
      <c r="AQ167" s="666"/>
      <c r="AR167" s="666"/>
      <c r="AS167" s="666"/>
      <c r="AT167" s="666"/>
      <c r="AU167" s="666"/>
      <c r="AV167" s="666"/>
      <c r="AW167" s="666"/>
      <c r="AX167" s="666"/>
      <c r="AY167" s="666"/>
      <c r="AZ167" s="666"/>
    </row>
    <row r="168" spans="1:52" ht="12.75" customHeight="1" x14ac:dyDescent="0.2">
      <c r="A168" s="706">
        <f>'Kalkulation Herstellungskosten'!B261</f>
        <v>0</v>
      </c>
      <c r="B168" s="674">
        <f>'Kalkulation Herstellungskosten'!E261</f>
        <v>0</v>
      </c>
      <c r="C168" s="666"/>
      <c r="D168" s="86"/>
      <c r="E168" s="86"/>
      <c r="F168" s="86"/>
      <c r="G168" s="687"/>
      <c r="H168" s="86"/>
      <c r="I168" s="86"/>
      <c r="J168" s="687"/>
      <c r="K168" s="86"/>
      <c r="L168" s="86"/>
      <c r="M168" s="86"/>
      <c r="N168" s="86"/>
      <c r="O168" s="86"/>
      <c r="P168" s="86"/>
      <c r="Q168" s="86"/>
      <c r="R168" s="86"/>
      <c r="S168" s="86"/>
      <c r="T168" s="687"/>
      <c r="U168" s="666"/>
      <c r="V168" s="666"/>
      <c r="W168" s="666"/>
      <c r="X168" s="666"/>
      <c r="Y168" s="666"/>
      <c r="Z168" s="666"/>
      <c r="AA168" s="666"/>
      <c r="AB168" s="666"/>
      <c r="AC168" s="666"/>
      <c r="AD168" s="666"/>
      <c r="AE168" s="666"/>
      <c r="AF168" s="666"/>
      <c r="AG168" s="666"/>
      <c r="AH168" s="666"/>
      <c r="AI168" s="666"/>
      <c r="AJ168" s="666"/>
      <c r="AK168" s="666"/>
      <c r="AL168" s="666"/>
      <c r="AM168" s="666"/>
      <c r="AN168" s="666"/>
      <c r="AO168" s="666"/>
      <c r="AP168" s="666"/>
      <c r="AQ168" s="666"/>
      <c r="AR168" s="666"/>
      <c r="AS168" s="666"/>
      <c r="AT168" s="666"/>
      <c r="AU168" s="666"/>
      <c r="AV168" s="666"/>
      <c r="AW168" s="666"/>
      <c r="AX168" s="666"/>
      <c r="AY168" s="666"/>
      <c r="AZ168" s="666"/>
    </row>
    <row r="169" spans="1:52" ht="12.75" customHeight="1" x14ac:dyDescent="0.2">
      <c r="A169" s="706">
        <f>'Kalkulation Herstellungskosten'!B262</f>
        <v>0</v>
      </c>
      <c r="B169" s="674">
        <f>'Kalkulation Herstellungskosten'!E262</f>
        <v>0</v>
      </c>
      <c r="C169" s="666"/>
      <c r="D169" s="86"/>
      <c r="E169" s="86"/>
      <c r="F169" s="86"/>
      <c r="G169" s="687"/>
      <c r="H169" s="86"/>
      <c r="I169" s="86"/>
      <c r="J169" s="687"/>
      <c r="K169" s="86"/>
      <c r="L169" s="86"/>
      <c r="M169" s="86"/>
      <c r="N169" s="86"/>
      <c r="O169" s="86"/>
      <c r="P169" s="86"/>
      <c r="Q169" s="86"/>
      <c r="R169" s="86"/>
      <c r="S169" s="86"/>
      <c r="T169" s="687"/>
      <c r="U169" s="666"/>
      <c r="V169" s="666"/>
      <c r="W169" s="666"/>
      <c r="X169" s="666"/>
      <c r="Y169" s="666"/>
      <c r="Z169" s="666"/>
      <c r="AA169" s="666"/>
      <c r="AB169" s="666"/>
      <c r="AC169" s="666"/>
      <c r="AD169" s="666"/>
      <c r="AE169" s="666"/>
      <c r="AF169" s="666"/>
      <c r="AG169" s="666"/>
      <c r="AH169" s="666"/>
      <c r="AI169" s="666"/>
      <c r="AJ169" s="666"/>
      <c r="AK169" s="666"/>
      <c r="AL169" s="666"/>
      <c r="AM169" s="666"/>
      <c r="AN169" s="666"/>
      <c r="AO169" s="666"/>
      <c r="AP169" s="666"/>
      <c r="AQ169" s="666"/>
      <c r="AR169" s="666"/>
      <c r="AS169" s="666"/>
      <c r="AT169" s="666"/>
      <c r="AU169" s="666"/>
      <c r="AV169" s="666"/>
      <c r="AW169" s="666"/>
      <c r="AX169" s="666"/>
      <c r="AY169" s="666"/>
      <c r="AZ169" s="666"/>
    </row>
    <row r="170" spans="1:52" ht="12.75" customHeight="1" x14ac:dyDescent="0.2">
      <c r="A170" s="706">
        <f>'Kalkulation Herstellungskosten'!B263</f>
        <v>0</v>
      </c>
      <c r="B170" s="674">
        <f>'Kalkulation Herstellungskosten'!E263</f>
        <v>0</v>
      </c>
      <c r="C170" s="666"/>
      <c r="D170" s="86"/>
      <c r="E170" s="86"/>
      <c r="F170" s="86"/>
      <c r="G170" s="687"/>
      <c r="H170" s="86"/>
      <c r="I170" s="86"/>
      <c r="J170" s="687"/>
      <c r="K170" s="86"/>
      <c r="L170" s="86"/>
      <c r="M170" s="86"/>
      <c r="N170" s="86"/>
      <c r="O170" s="86"/>
      <c r="P170" s="86"/>
      <c r="Q170" s="86"/>
      <c r="R170" s="86"/>
      <c r="S170" s="86"/>
      <c r="T170" s="687"/>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c r="AU170" s="666"/>
      <c r="AV170" s="666"/>
      <c r="AW170" s="666"/>
      <c r="AX170" s="666"/>
      <c r="AY170" s="666"/>
      <c r="AZ170" s="666"/>
    </row>
    <row r="171" spans="1:52" ht="12.75" customHeight="1" x14ac:dyDescent="0.2">
      <c r="A171" s="706">
        <f>'Kalkulation Herstellungskosten'!B264</f>
        <v>0</v>
      </c>
      <c r="B171" s="674">
        <f>'Kalkulation Herstellungskosten'!E264</f>
        <v>0</v>
      </c>
      <c r="C171" s="666"/>
      <c r="D171" s="86"/>
      <c r="E171" s="86"/>
      <c r="F171" s="86"/>
      <c r="G171" s="687"/>
      <c r="H171" s="86"/>
      <c r="I171" s="86"/>
      <c r="J171" s="687"/>
      <c r="K171" s="86"/>
      <c r="L171" s="86"/>
      <c r="M171" s="86"/>
      <c r="N171" s="86"/>
      <c r="O171" s="86"/>
      <c r="P171" s="86"/>
      <c r="Q171" s="86"/>
      <c r="R171" s="86"/>
      <c r="S171" s="86"/>
      <c r="T171" s="687"/>
      <c r="U171" s="666"/>
      <c r="V171" s="666"/>
      <c r="W171" s="666"/>
      <c r="X171" s="666"/>
      <c r="Y171" s="666"/>
      <c r="Z171" s="666"/>
      <c r="AA171" s="666"/>
      <c r="AB171" s="666"/>
      <c r="AC171" s="666"/>
      <c r="AD171" s="666"/>
      <c r="AE171" s="666"/>
      <c r="AF171" s="666"/>
      <c r="AG171" s="666"/>
      <c r="AH171" s="666"/>
      <c r="AI171" s="666"/>
      <c r="AJ171" s="666"/>
      <c r="AK171" s="666"/>
      <c r="AL171" s="666"/>
      <c r="AM171" s="666"/>
      <c r="AN171" s="666"/>
      <c r="AO171" s="666"/>
      <c r="AP171" s="666"/>
      <c r="AQ171" s="666"/>
      <c r="AR171" s="666"/>
      <c r="AS171" s="666"/>
      <c r="AT171" s="666"/>
      <c r="AU171" s="666"/>
      <c r="AV171" s="666"/>
      <c r="AW171" s="666"/>
      <c r="AX171" s="666"/>
      <c r="AY171" s="666"/>
      <c r="AZ171" s="666"/>
    </row>
    <row r="172" spans="1:52" ht="12.75" customHeight="1" x14ac:dyDescent="0.2">
      <c r="A172" s="706">
        <f>'Kalkulation Herstellungskosten'!B265</f>
        <v>0</v>
      </c>
      <c r="B172" s="674">
        <f>'Kalkulation Herstellungskosten'!E265</f>
        <v>0</v>
      </c>
      <c r="C172" s="666"/>
      <c r="D172" s="86"/>
      <c r="E172" s="86"/>
      <c r="F172" s="86"/>
      <c r="G172" s="687"/>
      <c r="H172" s="86"/>
      <c r="I172" s="86"/>
      <c r="J172" s="687"/>
      <c r="K172" s="86"/>
      <c r="L172" s="86"/>
      <c r="M172" s="86"/>
      <c r="N172" s="86"/>
      <c r="O172" s="86"/>
      <c r="P172" s="86"/>
      <c r="Q172" s="86"/>
      <c r="R172" s="86"/>
      <c r="S172" s="86"/>
      <c r="T172" s="687"/>
      <c r="U172" s="666"/>
      <c r="V172" s="666"/>
      <c r="W172" s="666"/>
      <c r="X172" s="666"/>
      <c r="Y172" s="666"/>
      <c r="Z172" s="666"/>
      <c r="AA172" s="666"/>
      <c r="AB172" s="666"/>
      <c r="AC172" s="666"/>
      <c r="AD172" s="666"/>
      <c r="AE172" s="666"/>
      <c r="AF172" s="666"/>
      <c r="AG172" s="666"/>
      <c r="AH172" s="666"/>
      <c r="AI172" s="666"/>
      <c r="AJ172" s="666"/>
      <c r="AK172" s="666"/>
      <c r="AL172" s="666"/>
      <c r="AM172" s="666"/>
      <c r="AN172" s="666"/>
      <c r="AO172" s="666"/>
      <c r="AP172" s="666"/>
      <c r="AQ172" s="666"/>
      <c r="AR172" s="666"/>
      <c r="AS172" s="666"/>
      <c r="AT172" s="666"/>
      <c r="AU172" s="666"/>
      <c r="AV172" s="666"/>
      <c r="AW172" s="666"/>
      <c r="AX172" s="666"/>
      <c r="AY172" s="666"/>
      <c r="AZ172" s="666"/>
    </row>
    <row r="173" spans="1:52" ht="12.75" customHeight="1" x14ac:dyDescent="0.2">
      <c r="A173" s="706">
        <f>'Kalkulation Herstellungskosten'!B266</f>
        <v>0</v>
      </c>
      <c r="B173" s="674">
        <f>'Kalkulation Herstellungskosten'!E266</f>
        <v>0</v>
      </c>
      <c r="C173" s="666"/>
      <c r="D173" s="86"/>
      <c r="E173" s="86"/>
      <c r="F173" s="86"/>
      <c r="G173" s="687"/>
      <c r="H173" s="86"/>
      <c r="I173" s="86"/>
      <c r="J173" s="687"/>
      <c r="K173" s="86"/>
      <c r="L173" s="86"/>
      <c r="M173" s="86"/>
      <c r="N173" s="86"/>
      <c r="O173" s="86"/>
      <c r="P173" s="86"/>
      <c r="Q173" s="86"/>
      <c r="R173" s="86"/>
      <c r="S173" s="86"/>
      <c r="T173" s="687"/>
      <c r="U173" s="666"/>
      <c r="V173" s="666"/>
      <c r="W173" s="666"/>
      <c r="X173" s="666"/>
      <c r="Y173" s="666"/>
      <c r="Z173" s="666"/>
      <c r="AA173" s="666"/>
      <c r="AB173" s="666"/>
      <c r="AC173" s="666"/>
      <c r="AD173" s="666"/>
      <c r="AE173" s="666"/>
      <c r="AF173" s="666"/>
      <c r="AG173" s="666"/>
      <c r="AH173" s="666"/>
      <c r="AI173" s="666"/>
      <c r="AJ173" s="666"/>
      <c r="AK173" s="666"/>
      <c r="AL173" s="666"/>
      <c r="AM173" s="666"/>
      <c r="AN173" s="666"/>
      <c r="AO173" s="666"/>
      <c r="AP173" s="666"/>
      <c r="AQ173" s="666"/>
      <c r="AR173" s="666"/>
      <c r="AS173" s="666"/>
      <c r="AT173" s="666"/>
      <c r="AU173" s="666"/>
      <c r="AV173" s="666"/>
      <c r="AW173" s="666"/>
      <c r="AX173" s="666"/>
      <c r="AY173" s="666"/>
      <c r="AZ173" s="666"/>
    </row>
    <row r="174" spans="1:52" ht="12.75" customHeight="1" x14ac:dyDescent="0.2">
      <c r="A174" s="706">
        <f>'Kalkulation Herstellungskosten'!B267</f>
        <v>0</v>
      </c>
      <c r="B174" s="674">
        <f>'Kalkulation Herstellungskosten'!E267</f>
        <v>0</v>
      </c>
      <c r="C174" s="666"/>
      <c r="D174" s="86"/>
      <c r="E174" s="86"/>
      <c r="F174" s="86"/>
      <c r="G174" s="687"/>
      <c r="H174" s="86"/>
      <c r="I174" s="86"/>
      <c r="J174" s="687"/>
      <c r="K174" s="86"/>
      <c r="L174" s="86"/>
      <c r="M174" s="86"/>
      <c r="N174" s="86"/>
      <c r="O174" s="86"/>
      <c r="P174" s="86"/>
      <c r="Q174" s="86"/>
      <c r="R174" s="86"/>
      <c r="S174" s="86"/>
      <c r="T174" s="687"/>
      <c r="U174" s="666"/>
      <c r="V174" s="666"/>
      <c r="W174" s="666"/>
      <c r="X174" s="666"/>
      <c r="Y174" s="666"/>
      <c r="Z174" s="666"/>
      <c r="AA174" s="666"/>
      <c r="AB174" s="666"/>
      <c r="AC174" s="666"/>
      <c r="AD174" s="666"/>
      <c r="AE174" s="666"/>
      <c r="AF174" s="666"/>
      <c r="AG174" s="666"/>
      <c r="AH174" s="666"/>
      <c r="AI174" s="666"/>
      <c r="AJ174" s="666"/>
      <c r="AK174" s="666"/>
      <c r="AL174" s="666"/>
      <c r="AM174" s="666"/>
      <c r="AN174" s="666"/>
      <c r="AO174" s="666"/>
      <c r="AP174" s="666"/>
      <c r="AQ174" s="666"/>
      <c r="AR174" s="666"/>
      <c r="AS174" s="666"/>
      <c r="AT174" s="666"/>
      <c r="AU174" s="666"/>
      <c r="AV174" s="666"/>
      <c r="AW174" s="666"/>
      <c r="AX174" s="666"/>
      <c r="AY174" s="666"/>
      <c r="AZ174" s="666"/>
    </row>
    <row r="175" spans="1:52" ht="12.75" customHeight="1" x14ac:dyDescent="0.2">
      <c r="A175" s="706">
        <f>'Kalkulation Herstellungskosten'!B268</f>
        <v>0</v>
      </c>
      <c r="B175" s="674">
        <f>'Kalkulation Herstellungskosten'!E268</f>
        <v>0</v>
      </c>
      <c r="C175" s="666"/>
      <c r="D175" s="86"/>
      <c r="E175" s="86"/>
      <c r="F175" s="86"/>
      <c r="G175" s="687"/>
      <c r="H175" s="86"/>
      <c r="I175" s="86"/>
      <c r="J175" s="687"/>
      <c r="K175" s="86"/>
      <c r="L175" s="86"/>
      <c r="M175" s="86"/>
      <c r="N175" s="86"/>
      <c r="O175" s="86"/>
      <c r="P175" s="86"/>
      <c r="Q175" s="86"/>
      <c r="R175" s="86"/>
      <c r="S175" s="86"/>
      <c r="T175" s="687"/>
      <c r="U175" s="666"/>
      <c r="V175" s="666"/>
      <c r="W175" s="666"/>
      <c r="X175" s="666"/>
      <c r="Y175" s="666"/>
      <c r="Z175" s="666"/>
      <c r="AA175" s="666"/>
      <c r="AB175" s="666"/>
      <c r="AC175" s="666"/>
      <c r="AD175" s="666"/>
      <c r="AE175" s="666"/>
      <c r="AF175" s="666"/>
      <c r="AG175" s="666"/>
      <c r="AH175" s="666"/>
      <c r="AI175" s="666"/>
      <c r="AJ175" s="666"/>
      <c r="AK175" s="666"/>
      <c r="AL175" s="666"/>
      <c r="AM175" s="666"/>
      <c r="AN175" s="666"/>
      <c r="AO175" s="666"/>
      <c r="AP175" s="666"/>
      <c r="AQ175" s="666"/>
      <c r="AR175" s="666"/>
      <c r="AS175" s="666"/>
      <c r="AT175" s="666"/>
      <c r="AU175" s="666"/>
      <c r="AV175" s="666"/>
      <c r="AW175" s="666"/>
      <c r="AX175" s="666"/>
      <c r="AY175" s="666"/>
      <c r="AZ175" s="666"/>
    </row>
    <row r="176" spans="1:52" ht="12.75" customHeight="1" x14ac:dyDescent="0.2">
      <c r="A176" s="706">
        <f>'Kalkulation Herstellungskosten'!B269</f>
        <v>0</v>
      </c>
      <c r="B176" s="674">
        <f>'Kalkulation Herstellungskosten'!E269</f>
        <v>0</v>
      </c>
      <c r="C176" s="666"/>
      <c r="D176" s="86"/>
      <c r="E176" s="86"/>
      <c r="F176" s="86"/>
      <c r="G176" s="687"/>
      <c r="H176" s="86"/>
      <c r="I176" s="86"/>
      <c r="J176" s="687"/>
      <c r="K176" s="86"/>
      <c r="L176" s="86"/>
      <c r="M176" s="86"/>
      <c r="N176" s="86"/>
      <c r="O176" s="86"/>
      <c r="P176" s="86"/>
      <c r="Q176" s="86"/>
      <c r="R176" s="86"/>
      <c r="S176" s="86"/>
      <c r="T176" s="687"/>
      <c r="U176" s="666"/>
      <c r="V176" s="666"/>
      <c r="W176" s="666"/>
      <c r="X176" s="666"/>
      <c r="Y176" s="666"/>
      <c r="Z176" s="666"/>
      <c r="AA176" s="666"/>
      <c r="AB176" s="666"/>
      <c r="AC176" s="666"/>
      <c r="AD176" s="666"/>
      <c r="AE176" s="666"/>
      <c r="AF176" s="666"/>
      <c r="AG176" s="666"/>
      <c r="AH176" s="666"/>
      <c r="AI176" s="666"/>
      <c r="AJ176" s="666"/>
      <c r="AK176" s="666"/>
      <c r="AL176" s="666"/>
      <c r="AM176" s="666"/>
      <c r="AN176" s="666"/>
      <c r="AO176" s="666"/>
      <c r="AP176" s="666"/>
      <c r="AQ176" s="666"/>
      <c r="AR176" s="666"/>
      <c r="AS176" s="666"/>
      <c r="AT176" s="666"/>
      <c r="AU176" s="666"/>
      <c r="AV176" s="666"/>
      <c r="AW176" s="666"/>
      <c r="AX176" s="666"/>
      <c r="AY176" s="666"/>
      <c r="AZ176" s="666"/>
    </row>
    <row r="177" spans="1:52" ht="12.75" customHeight="1" x14ac:dyDescent="0.2">
      <c r="A177" s="706">
        <f>'Kalkulation Herstellungskosten'!B270</f>
        <v>0</v>
      </c>
      <c r="B177" s="674">
        <f>'Kalkulation Herstellungskosten'!E270</f>
        <v>0</v>
      </c>
      <c r="C177" s="666"/>
      <c r="D177" s="86"/>
      <c r="E177" s="86"/>
      <c r="F177" s="86"/>
      <c r="G177" s="687"/>
      <c r="H177" s="86"/>
      <c r="I177" s="86"/>
      <c r="J177" s="687"/>
      <c r="K177" s="86"/>
      <c r="L177" s="86"/>
      <c r="M177" s="86"/>
      <c r="N177" s="86"/>
      <c r="O177" s="86"/>
      <c r="P177" s="86"/>
      <c r="Q177" s="86"/>
      <c r="R177" s="86"/>
      <c r="S177" s="86"/>
      <c r="T177" s="687"/>
      <c r="U177" s="666"/>
      <c r="V177" s="666"/>
      <c r="W177" s="666"/>
      <c r="X177" s="666"/>
      <c r="Y177" s="666"/>
      <c r="Z177" s="666"/>
      <c r="AA177" s="666"/>
      <c r="AB177" s="666"/>
      <c r="AC177" s="666"/>
      <c r="AD177" s="666"/>
      <c r="AE177" s="666"/>
      <c r="AF177" s="666"/>
      <c r="AG177" s="666"/>
      <c r="AH177" s="666"/>
      <c r="AI177" s="666"/>
      <c r="AJ177" s="666"/>
      <c r="AK177" s="666"/>
      <c r="AL177" s="666"/>
      <c r="AM177" s="666"/>
      <c r="AN177" s="666"/>
      <c r="AO177" s="666"/>
      <c r="AP177" s="666"/>
      <c r="AQ177" s="666"/>
      <c r="AR177" s="666"/>
      <c r="AS177" s="666"/>
      <c r="AT177" s="666"/>
      <c r="AU177" s="666"/>
      <c r="AV177" s="666"/>
      <c r="AW177" s="666"/>
      <c r="AX177" s="666"/>
      <c r="AY177" s="666"/>
      <c r="AZ177" s="666"/>
    </row>
    <row r="178" spans="1:52" ht="12.75" customHeight="1" x14ac:dyDescent="0.2">
      <c r="A178" s="706">
        <f>'Kalkulation Herstellungskosten'!B271</f>
        <v>0</v>
      </c>
      <c r="B178" s="674">
        <f>'Kalkulation Herstellungskosten'!E271</f>
        <v>0</v>
      </c>
      <c r="C178" s="666"/>
      <c r="D178" s="86"/>
      <c r="E178" s="86"/>
      <c r="F178" s="86"/>
      <c r="G178" s="687"/>
      <c r="H178" s="86"/>
      <c r="I178" s="86"/>
      <c r="J178" s="687"/>
      <c r="K178" s="86"/>
      <c r="L178" s="86"/>
      <c r="M178" s="86"/>
      <c r="N178" s="86"/>
      <c r="O178" s="86"/>
      <c r="P178" s="86"/>
      <c r="Q178" s="86"/>
      <c r="R178" s="86"/>
      <c r="S178" s="86"/>
      <c r="T178" s="687"/>
      <c r="U178" s="666"/>
      <c r="V178" s="666"/>
      <c r="W178" s="666"/>
      <c r="X178" s="666"/>
      <c r="Y178" s="666"/>
      <c r="Z178" s="666"/>
      <c r="AA178" s="666"/>
      <c r="AB178" s="666"/>
      <c r="AC178" s="666"/>
      <c r="AD178" s="666"/>
      <c r="AE178" s="666"/>
      <c r="AF178" s="666"/>
      <c r="AG178" s="666"/>
      <c r="AH178" s="666"/>
      <c r="AI178" s="666"/>
      <c r="AJ178" s="666"/>
      <c r="AK178" s="666"/>
      <c r="AL178" s="666"/>
      <c r="AM178" s="666"/>
      <c r="AN178" s="666"/>
      <c r="AO178" s="666"/>
      <c r="AP178" s="666"/>
      <c r="AQ178" s="666"/>
      <c r="AR178" s="666"/>
      <c r="AS178" s="666"/>
      <c r="AT178" s="666"/>
      <c r="AU178" s="666"/>
      <c r="AV178" s="666"/>
      <c r="AW178" s="666"/>
      <c r="AX178" s="666"/>
      <c r="AY178" s="666"/>
      <c r="AZ178" s="666"/>
    </row>
    <row r="179" spans="1:52" ht="12.75" customHeight="1" x14ac:dyDescent="0.2">
      <c r="A179" s="706">
        <f>'Kalkulation Herstellungskosten'!B272</f>
        <v>0</v>
      </c>
      <c r="B179" s="674">
        <f>'Kalkulation Herstellungskosten'!E272</f>
        <v>0</v>
      </c>
      <c r="C179" s="666"/>
      <c r="D179" s="86"/>
      <c r="E179" s="86"/>
      <c r="F179" s="86"/>
      <c r="G179" s="687"/>
      <c r="H179" s="86"/>
      <c r="I179" s="86"/>
      <c r="J179" s="687"/>
      <c r="K179" s="86"/>
      <c r="L179" s="86"/>
      <c r="M179" s="86"/>
      <c r="N179" s="86"/>
      <c r="O179" s="86"/>
      <c r="P179" s="86"/>
      <c r="Q179" s="86"/>
      <c r="R179" s="86"/>
      <c r="S179" s="86"/>
      <c r="T179" s="687"/>
      <c r="U179" s="666"/>
      <c r="V179" s="666"/>
      <c r="W179" s="666"/>
      <c r="X179" s="666"/>
      <c r="Y179" s="666"/>
      <c r="Z179" s="666"/>
      <c r="AA179" s="666"/>
      <c r="AB179" s="666"/>
      <c r="AC179" s="666"/>
      <c r="AD179" s="666"/>
      <c r="AE179" s="666"/>
      <c r="AF179" s="666"/>
      <c r="AG179" s="666"/>
      <c r="AH179" s="666"/>
      <c r="AI179" s="666"/>
      <c r="AJ179" s="666"/>
      <c r="AK179" s="666"/>
      <c r="AL179" s="666"/>
      <c r="AM179" s="666"/>
      <c r="AN179" s="666"/>
      <c r="AO179" s="666"/>
      <c r="AP179" s="666"/>
      <c r="AQ179" s="666"/>
      <c r="AR179" s="666"/>
      <c r="AS179" s="666"/>
      <c r="AT179" s="666"/>
      <c r="AU179" s="666"/>
      <c r="AV179" s="666"/>
      <c r="AW179" s="666"/>
      <c r="AX179" s="666"/>
      <c r="AY179" s="666"/>
      <c r="AZ179" s="666"/>
    </row>
    <row r="180" spans="1:52" ht="12.75" customHeight="1" x14ac:dyDescent="0.2">
      <c r="A180" s="706">
        <f>'Kalkulation Herstellungskosten'!B273</f>
        <v>0</v>
      </c>
      <c r="B180" s="674">
        <f>'Kalkulation Herstellungskosten'!E273</f>
        <v>0</v>
      </c>
      <c r="C180" s="666"/>
      <c r="D180" s="86"/>
      <c r="E180" s="86"/>
      <c r="F180" s="86"/>
      <c r="G180" s="687"/>
      <c r="H180" s="86"/>
      <c r="I180" s="86"/>
      <c r="J180" s="687"/>
      <c r="K180" s="86"/>
      <c r="L180" s="86"/>
      <c r="M180" s="86"/>
      <c r="N180" s="86"/>
      <c r="O180" s="86"/>
      <c r="P180" s="86"/>
      <c r="Q180" s="86"/>
      <c r="R180" s="86"/>
      <c r="S180" s="86"/>
      <c r="T180" s="687"/>
      <c r="U180" s="666"/>
      <c r="V180" s="666"/>
      <c r="W180" s="666"/>
      <c r="X180" s="666"/>
      <c r="Y180" s="666"/>
      <c r="Z180" s="666"/>
      <c r="AA180" s="666"/>
      <c r="AB180" s="666"/>
      <c r="AC180" s="666"/>
      <c r="AD180" s="666"/>
      <c r="AE180" s="666"/>
      <c r="AF180" s="666"/>
      <c r="AG180" s="666"/>
      <c r="AH180" s="666"/>
      <c r="AI180" s="666"/>
      <c r="AJ180" s="666"/>
      <c r="AK180" s="666"/>
      <c r="AL180" s="666"/>
      <c r="AM180" s="666"/>
      <c r="AN180" s="666"/>
      <c r="AO180" s="666"/>
      <c r="AP180" s="666"/>
      <c r="AQ180" s="666"/>
      <c r="AR180" s="666"/>
      <c r="AS180" s="666"/>
      <c r="AT180" s="666"/>
      <c r="AU180" s="666"/>
      <c r="AV180" s="666"/>
      <c r="AW180" s="666"/>
      <c r="AX180" s="666"/>
      <c r="AY180" s="666"/>
      <c r="AZ180" s="666"/>
    </row>
    <row r="181" spans="1:52" ht="12.75" customHeight="1" x14ac:dyDescent="0.2">
      <c r="A181" s="706">
        <f>'Kalkulation Herstellungskosten'!B274</f>
        <v>0</v>
      </c>
      <c r="B181" s="674">
        <f>'Kalkulation Herstellungskosten'!E274</f>
        <v>0</v>
      </c>
      <c r="C181" s="666"/>
      <c r="D181" s="86"/>
      <c r="E181" s="86"/>
      <c r="F181" s="86"/>
      <c r="G181" s="687"/>
      <c r="H181" s="86"/>
      <c r="I181" s="86"/>
      <c r="J181" s="687"/>
      <c r="K181" s="86"/>
      <c r="L181" s="86"/>
      <c r="M181" s="86"/>
      <c r="N181" s="86"/>
      <c r="O181" s="86"/>
      <c r="P181" s="86"/>
      <c r="Q181" s="86"/>
      <c r="R181" s="86"/>
      <c r="S181" s="86"/>
      <c r="T181" s="687"/>
      <c r="U181" s="666"/>
      <c r="V181" s="666"/>
      <c r="W181" s="666"/>
      <c r="X181" s="666"/>
      <c r="Y181" s="666"/>
      <c r="Z181" s="666"/>
      <c r="AA181" s="666"/>
      <c r="AB181" s="666"/>
      <c r="AC181" s="666"/>
      <c r="AD181" s="666"/>
      <c r="AE181" s="666"/>
      <c r="AF181" s="666"/>
      <c r="AG181" s="666"/>
      <c r="AH181" s="666"/>
      <c r="AI181" s="666"/>
      <c r="AJ181" s="666"/>
      <c r="AK181" s="666"/>
      <c r="AL181" s="666"/>
      <c r="AM181" s="666"/>
      <c r="AN181" s="666"/>
      <c r="AO181" s="666"/>
      <c r="AP181" s="666"/>
      <c r="AQ181" s="666"/>
      <c r="AR181" s="666"/>
      <c r="AS181" s="666"/>
      <c r="AT181" s="666"/>
      <c r="AU181" s="666"/>
      <c r="AV181" s="666"/>
      <c r="AW181" s="666"/>
      <c r="AX181" s="666"/>
      <c r="AY181" s="666"/>
      <c r="AZ181" s="666"/>
    </row>
    <row r="182" spans="1:52" ht="12.75" customHeight="1" x14ac:dyDescent="0.2">
      <c r="A182" s="706">
        <f>'Kalkulation Herstellungskosten'!B275</f>
        <v>0</v>
      </c>
      <c r="B182" s="674">
        <f>'Kalkulation Herstellungskosten'!E275</f>
        <v>0</v>
      </c>
      <c r="C182" s="666"/>
      <c r="D182" s="86"/>
      <c r="E182" s="86"/>
      <c r="F182" s="86"/>
      <c r="G182" s="687"/>
      <c r="H182" s="86"/>
      <c r="I182" s="86"/>
      <c r="J182" s="687"/>
      <c r="K182" s="86"/>
      <c r="L182" s="86"/>
      <c r="M182" s="86"/>
      <c r="N182" s="86"/>
      <c r="O182" s="86"/>
      <c r="P182" s="86"/>
      <c r="Q182" s="86"/>
      <c r="R182" s="86"/>
      <c r="S182" s="86"/>
      <c r="T182" s="687"/>
      <c r="U182" s="666"/>
      <c r="V182" s="666"/>
      <c r="W182" s="666"/>
      <c r="X182" s="666"/>
      <c r="Y182" s="666"/>
      <c r="Z182" s="666"/>
      <c r="AA182" s="666"/>
      <c r="AB182" s="666"/>
      <c r="AC182" s="666"/>
      <c r="AD182" s="666"/>
      <c r="AE182" s="666"/>
      <c r="AF182" s="666"/>
      <c r="AG182" s="666"/>
      <c r="AH182" s="666"/>
      <c r="AI182" s="666"/>
      <c r="AJ182" s="666"/>
      <c r="AK182" s="666"/>
      <c r="AL182" s="666"/>
      <c r="AM182" s="666"/>
      <c r="AN182" s="666"/>
      <c r="AO182" s="666"/>
      <c r="AP182" s="666"/>
      <c r="AQ182" s="666"/>
      <c r="AR182" s="666"/>
      <c r="AS182" s="666"/>
      <c r="AT182" s="666"/>
      <c r="AU182" s="666"/>
      <c r="AV182" s="666"/>
      <c r="AW182" s="666"/>
      <c r="AX182" s="666"/>
      <c r="AY182" s="666"/>
      <c r="AZ182" s="666"/>
    </row>
    <row r="183" spans="1:52" ht="12.75" customHeight="1" x14ac:dyDescent="0.2">
      <c r="A183" s="706">
        <f>'Kalkulation Herstellungskosten'!B276</f>
        <v>0</v>
      </c>
      <c r="B183" s="674">
        <f>'Kalkulation Herstellungskosten'!E276</f>
        <v>0</v>
      </c>
      <c r="C183" s="666"/>
      <c r="D183" s="86"/>
      <c r="E183" s="86"/>
      <c r="F183" s="86"/>
      <c r="G183" s="687"/>
      <c r="H183" s="86"/>
      <c r="I183" s="86"/>
      <c r="J183" s="687"/>
      <c r="K183" s="86"/>
      <c r="L183" s="86"/>
      <c r="M183" s="86"/>
      <c r="N183" s="86"/>
      <c r="O183" s="86"/>
      <c r="P183" s="86"/>
      <c r="Q183" s="86"/>
      <c r="R183" s="86"/>
      <c r="S183" s="86"/>
      <c r="T183" s="687"/>
      <c r="U183" s="666"/>
      <c r="V183" s="666"/>
      <c r="W183" s="666"/>
      <c r="X183" s="666"/>
      <c r="Y183" s="666"/>
      <c r="Z183" s="666"/>
      <c r="AA183" s="666"/>
      <c r="AB183" s="666"/>
      <c r="AC183" s="666"/>
      <c r="AD183" s="666"/>
      <c r="AE183" s="666"/>
      <c r="AF183" s="666"/>
      <c r="AG183" s="666"/>
      <c r="AH183" s="666"/>
      <c r="AI183" s="666"/>
      <c r="AJ183" s="666"/>
      <c r="AK183" s="666"/>
      <c r="AL183" s="666"/>
      <c r="AM183" s="666"/>
      <c r="AN183" s="666"/>
      <c r="AO183" s="666"/>
      <c r="AP183" s="666"/>
      <c r="AQ183" s="666"/>
      <c r="AR183" s="666"/>
      <c r="AS183" s="666"/>
      <c r="AT183" s="666"/>
      <c r="AU183" s="666"/>
      <c r="AV183" s="666"/>
      <c r="AW183" s="666"/>
      <c r="AX183" s="666"/>
      <c r="AY183" s="666"/>
      <c r="AZ183" s="666"/>
    </row>
    <row r="184" spans="1:52" ht="12.75" customHeight="1" x14ac:dyDescent="0.2">
      <c r="A184" s="706">
        <f>'Kalkulation Herstellungskosten'!B277</f>
        <v>0</v>
      </c>
      <c r="B184" s="674">
        <f>'Kalkulation Herstellungskosten'!E277</f>
        <v>0</v>
      </c>
      <c r="C184" s="666"/>
      <c r="D184" s="86"/>
      <c r="E184" s="86"/>
      <c r="F184" s="86"/>
      <c r="G184" s="687"/>
      <c r="H184" s="86"/>
      <c r="I184" s="86"/>
      <c r="J184" s="687"/>
      <c r="K184" s="86"/>
      <c r="L184" s="86"/>
      <c r="M184" s="86"/>
      <c r="N184" s="86"/>
      <c r="O184" s="86"/>
      <c r="P184" s="86"/>
      <c r="Q184" s="86"/>
      <c r="R184" s="86"/>
      <c r="S184" s="86"/>
      <c r="T184" s="687"/>
      <c r="U184" s="666"/>
      <c r="V184" s="666"/>
      <c r="W184" s="666"/>
      <c r="X184" s="666"/>
      <c r="Y184" s="666"/>
      <c r="Z184" s="666"/>
      <c r="AA184" s="666"/>
      <c r="AB184" s="666"/>
      <c r="AC184" s="666"/>
      <c r="AD184" s="666"/>
      <c r="AE184" s="666"/>
      <c r="AF184" s="666"/>
      <c r="AG184" s="666"/>
      <c r="AH184" s="666"/>
      <c r="AI184" s="666"/>
      <c r="AJ184" s="666"/>
      <c r="AK184" s="666"/>
      <c r="AL184" s="666"/>
      <c r="AM184" s="666"/>
      <c r="AN184" s="666"/>
      <c r="AO184" s="666"/>
      <c r="AP184" s="666"/>
      <c r="AQ184" s="666"/>
      <c r="AR184" s="666"/>
      <c r="AS184" s="666"/>
      <c r="AT184" s="666"/>
      <c r="AU184" s="666"/>
      <c r="AV184" s="666"/>
      <c r="AW184" s="666"/>
      <c r="AX184" s="666"/>
      <c r="AY184" s="666"/>
      <c r="AZ184" s="666"/>
    </row>
    <row r="185" spans="1:52" ht="12.75" customHeight="1" x14ac:dyDescent="0.2">
      <c r="A185" s="706">
        <f>'Kalkulation Herstellungskosten'!B278</f>
        <v>0</v>
      </c>
      <c r="B185" s="674">
        <f>'Kalkulation Herstellungskosten'!E278</f>
        <v>0</v>
      </c>
      <c r="C185" s="666"/>
      <c r="D185" s="86"/>
      <c r="E185" s="86"/>
      <c r="F185" s="86"/>
      <c r="G185" s="687"/>
      <c r="H185" s="86"/>
      <c r="I185" s="86"/>
      <c r="J185" s="687"/>
      <c r="K185" s="86"/>
      <c r="L185" s="86"/>
      <c r="M185" s="86"/>
      <c r="N185" s="86"/>
      <c r="O185" s="86"/>
      <c r="P185" s="86"/>
      <c r="Q185" s="86"/>
      <c r="R185" s="86"/>
      <c r="S185" s="86"/>
      <c r="T185" s="687"/>
      <c r="U185" s="666"/>
      <c r="V185" s="666"/>
      <c r="W185" s="666"/>
      <c r="X185" s="666"/>
      <c r="Y185" s="666"/>
      <c r="Z185" s="666"/>
      <c r="AA185" s="666"/>
      <c r="AB185" s="666"/>
      <c r="AC185" s="666"/>
      <c r="AD185" s="666"/>
      <c r="AE185" s="666"/>
      <c r="AF185" s="666"/>
      <c r="AG185" s="666"/>
      <c r="AH185" s="666"/>
      <c r="AI185" s="666"/>
      <c r="AJ185" s="666"/>
      <c r="AK185" s="666"/>
      <c r="AL185" s="666"/>
      <c r="AM185" s="666"/>
      <c r="AN185" s="666"/>
      <c r="AO185" s="666"/>
      <c r="AP185" s="666"/>
      <c r="AQ185" s="666"/>
      <c r="AR185" s="666"/>
      <c r="AS185" s="666"/>
      <c r="AT185" s="666"/>
      <c r="AU185" s="666"/>
      <c r="AV185" s="666"/>
      <c r="AW185" s="666"/>
      <c r="AX185" s="666"/>
      <c r="AY185" s="666"/>
      <c r="AZ185" s="666"/>
    </row>
    <row r="186" spans="1:52" ht="12.75" customHeight="1" x14ac:dyDescent="0.2">
      <c r="A186" s="706">
        <f>'Kalkulation Herstellungskosten'!B279</f>
        <v>0</v>
      </c>
      <c r="B186" s="674">
        <f>'Kalkulation Herstellungskosten'!E279</f>
        <v>0</v>
      </c>
      <c r="C186" s="666"/>
      <c r="D186" s="86"/>
      <c r="E186" s="86"/>
      <c r="F186" s="86"/>
      <c r="G186" s="687"/>
      <c r="H186" s="86"/>
      <c r="I186" s="86"/>
      <c r="J186" s="687"/>
      <c r="K186" s="86"/>
      <c r="L186" s="86"/>
      <c r="M186" s="86"/>
      <c r="N186" s="86"/>
      <c r="O186" s="86"/>
      <c r="P186" s="86"/>
      <c r="Q186" s="86"/>
      <c r="R186" s="86"/>
      <c r="S186" s="86"/>
      <c r="T186" s="687"/>
      <c r="U186" s="666"/>
      <c r="V186" s="666"/>
      <c r="W186" s="666"/>
      <c r="X186" s="666"/>
      <c r="Y186" s="666"/>
      <c r="Z186" s="666"/>
      <c r="AA186" s="666"/>
      <c r="AB186" s="666"/>
      <c r="AC186" s="666"/>
      <c r="AD186" s="666"/>
      <c r="AE186" s="666"/>
      <c r="AF186" s="666"/>
      <c r="AG186" s="666"/>
      <c r="AH186" s="666"/>
      <c r="AI186" s="666"/>
      <c r="AJ186" s="666"/>
      <c r="AK186" s="666"/>
      <c r="AL186" s="666"/>
      <c r="AM186" s="666"/>
      <c r="AN186" s="666"/>
      <c r="AO186" s="666"/>
      <c r="AP186" s="666"/>
      <c r="AQ186" s="666"/>
      <c r="AR186" s="666"/>
      <c r="AS186" s="666"/>
      <c r="AT186" s="666"/>
      <c r="AU186" s="666"/>
      <c r="AV186" s="666"/>
      <c r="AW186" s="666"/>
      <c r="AX186" s="666"/>
      <c r="AY186" s="666"/>
      <c r="AZ186" s="666"/>
    </row>
    <row r="187" spans="1:52" ht="12.75" customHeight="1" x14ac:dyDescent="0.2">
      <c r="A187" s="706">
        <f>'Kalkulation Herstellungskosten'!B280</f>
        <v>0</v>
      </c>
      <c r="B187" s="674">
        <f>'Kalkulation Herstellungskosten'!E280</f>
        <v>0</v>
      </c>
      <c r="C187" s="666"/>
      <c r="D187" s="86"/>
      <c r="E187" s="86"/>
      <c r="F187" s="86"/>
      <c r="G187" s="687"/>
      <c r="H187" s="86"/>
      <c r="I187" s="86"/>
      <c r="J187" s="687"/>
      <c r="K187" s="86"/>
      <c r="L187" s="86"/>
      <c r="M187" s="86"/>
      <c r="N187" s="86"/>
      <c r="O187" s="86"/>
      <c r="P187" s="86"/>
      <c r="Q187" s="86"/>
      <c r="R187" s="86"/>
      <c r="S187" s="86"/>
      <c r="T187" s="687"/>
      <c r="U187" s="666"/>
      <c r="V187" s="666"/>
      <c r="W187" s="666"/>
      <c r="X187" s="666"/>
      <c r="Y187" s="666"/>
      <c r="Z187" s="666"/>
      <c r="AA187" s="666"/>
      <c r="AB187" s="666"/>
      <c r="AC187" s="666"/>
      <c r="AD187" s="666"/>
      <c r="AE187" s="666"/>
      <c r="AF187" s="666"/>
      <c r="AG187" s="666"/>
      <c r="AH187" s="666"/>
      <c r="AI187" s="666"/>
      <c r="AJ187" s="666"/>
      <c r="AK187" s="666"/>
      <c r="AL187" s="666"/>
      <c r="AM187" s="666"/>
      <c r="AN187" s="666"/>
      <c r="AO187" s="666"/>
      <c r="AP187" s="666"/>
      <c r="AQ187" s="666"/>
      <c r="AR187" s="666"/>
      <c r="AS187" s="666"/>
      <c r="AT187" s="666"/>
      <c r="AU187" s="666"/>
      <c r="AV187" s="666"/>
      <c r="AW187" s="666"/>
      <c r="AX187" s="666"/>
      <c r="AY187" s="666"/>
      <c r="AZ187" s="666"/>
    </row>
    <row r="188" spans="1:52" ht="12.75" customHeight="1" x14ac:dyDescent="0.2">
      <c r="A188" s="706">
        <f>'Kalkulation Herstellungskosten'!B281</f>
        <v>0</v>
      </c>
      <c r="B188" s="674">
        <f>'Kalkulation Herstellungskosten'!E281</f>
        <v>0</v>
      </c>
      <c r="C188" s="666"/>
      <c r="D188" s="86"/>
      <c r="E188" s="86"/>
      <c r="F188" s="86"/>
      <c r="G188" s="687"/>
      <c r="H188" s="86"/>
      <c r="I188" s="86"/>
      <c r="J188" s="687"/>
      <c r="K188" s="86"/>
      <c r="L188" s="86"/>
      <c r="M188" s="86"/>
      <c r="N188" s="86"/>
      <c r="O188" s="86"/>
      <c r="P188" s="86"/>
      <c r="Q188" s="86"/>
      <c r="R188" s="86"/>
      <c r="S188" s="86"/>
      <c r="T188" s="687"/>
      <c r="U188" s="666"/>
      <c r="V188" s="666"/>
      <c r="W188" s="666"/>
      <c r="X188" s="666"/>
      <c r="Y188" s="666"/>
      <c r="Z188" s="666"/>
      <c r="AA188" s="666"/>
      <c r="AB188" s="666"/>
      <c r="AC188" s="666"/>
      <c r="AD188" s="666"/>
      <c r="AE188" s="666"/>
      <c r="AF188" s="666"/>
      <c r="AG188" s="666"/>
      <c r="AH188" s="666"/>
      <c r="AI188" s="666"/>
      <c r="AJ188" s="666"/>
      <c r="AK188" s="666"/>
      <c r="AL188" s="666"/>
      <c r="AM188" s="666"/>
      <c r="AN188" s="666"/>
      <c r="AO188" s="666"/>
      <c r="AP188" s="666"/>
      <c r="AQ188" s="666"/>
      <c r="AR188" s="666"/>
      <c r="AS188" s="666"/>
      <c r="AT188" s="666"/>
      <c r="AU188" s="666"/>
      <c r="AV188" s="666"/>
      <c r="AW188" s="666"/>
      <c r="AX188" s="666"/>
      <c r="AY188" s="666"/>
      <c r="AZ188" s="666"/>
    </row>
    <row r="189" spans="1:52" ht="12.75" customHeight="1" x14ac:dyDescent="0.2">
      <c r="A189" s="706">
        <f>'Kalkulation Herstellungskosten'!B282</f>
        <v>0</v>
      </c>
      <c r="B189" s="674">
        <f>'Kalkulation Herstellungskosten'!E282</f>
        <v>0</v>
      </c>
      <c r="C189" s="666"/>
      <c r="D189" s="86"/>
      <c r="E189" s="86"/>
      <c r="F189" s="86"/>
      <c r="G189" s="687"/>
      <c r="H189" s="86"/>
      <c r="I189" s="86"/>
      <c r="J189" s="687"/>
      <c r="K189" s="86"/>
      <c r="L189" s="86"/>
      <c r="M189" s="86"/>
      <c r="N189" s="86"/>
      <c r="O189" s="86"/>
      <c r="P189" s="86"/>
      <c r="Q189" s="86"/>
      <c r="R189" s="86"/>
      <c r="S189" s="86"/>
      <c r="T189" s="687"/>
      <c r="U189" s="666"/>
      <c r="V189" s="666"/>
      <c r="W189" s="666"/>
      <c r="X189" s="666"/>
      <c r="Y189" s="666"/>
      <c r="Z189" s="666"/>
      <c r="AA189" s="666"/>
      <c r="AB189" s="666"/>
      <c r="AC189" s="666"/>
      <c r="AD189" s="666"/>
      <c r="AE189" s="666"/>
      <c r="AF189" s="666"/>
      <c r="AG189" s="666"/>
      <c r="AH189" s="666"/>
      <c r="AI189" s="666"/>
      <c r="AJ189" s="666"/>
      <c r="AK189" s="666"/>
      <c r="AL189" s="666"/>
      <c r="AM189" s="666"/>
      <c r="AN189" s="666"/>
      <c r="AO189" s="666"/>
      <c r="AP189" s="666"/>
      <c r="AQ189" s="666"/>
      <c r="AR189" s="666"/>
      <c r="AS189" s="666"/>
      <c r="AT189" s="666"/>
      <c r="AU189" s="666"/>
      <c r="AV189" s="666"/>
      <c r="AW189" s="666"/>
      <c r="AX189" s="666"/>
      <c r="AY189" s="666"/>
      <c r="AZ189" s="666"/>
    </row>
    <row r="190" spans="1:52" ht="12.75" customHeight="1" x14ac:dyDescent="0.2">
      <c r="A190" s="706">
        <f>'Kalkulation Herstellungskosten'!B283</f>
        <v>0</v>
      </c>
      <c r="B190" s="674">
        <f>'Kalkulation Herstellungskosten'!E283</f>
        <v>0</v>
      </c>
      <c r="C190" s="666"/>
      <c r="D190" s="86"/>
      <c r="E190" s="86"/>
      <c r="F190" s="86"/>
      <c r="G190" s="687"/>
      <c r="H190" s="86"/>
      <c r="I190" s="86"/>
      <c r="J190" s="687"/>
      <c r="K190" s="86"/>
      <c r="L190" s="86"/>
      <c r="M190" s="86"/>
      <c r="N190" s="86"/>
      <c r="O190" s="86"/>
      <c r="P190" s="86"/>
      <c r="Q190" s="86"/>
      <c r="R190" s="86"/>
      <c r="S190" s="86"/>
      <c r="T190" s="687"/>
      <c r="U190" s="666"/>
      <c r="V190" s="666"/>
      <c r="W190" s="666"/>
      <c r="X190" s="666"/>
      <c r="Y190" s="666"/>
      <c r="Z190" s="666"/>
      <c r="AA190" s="666"/>
      <c r="AB190" s="666"/>
      <c r="AC190" s="666"/>
      <c r="AD190" s="666"/>
      <c r="AE190" s="666"/>
      <c r="AF190" s="666"/>
      <c r="AG190" s="666"/>
      <c r="AH190" s="666"/>
      <c r="AI190" s="666"/>
      <c r="AJ190" s="666"/>
      <c r="AK190" s="666"/>
      <c r="AL190" s="666"/>
      <c r="AM190" s="666"/>
      <c r="AN190" s="666"/>
      <c r="AO190" s="666"/>
      <c r="AP190" s="666"/>
      <c r="AQ190" s="666"/>
      <c r="AR190" s="666"/>
      <c r="AS190" s="666"/>
      <c r="AT190" s="666"/>
      <c r="AU190" s="666"/>
      <c r="AV190" s="666"/>
      <c r="AW190" s="666"/>
      <c r="AX190" s="666"/>
      <c r="AY190" s="666"/>
      <c r="AZ190" s="666"/>
    </row>
    <row r="191" spans="1:52" ht="12.75" customHeight="1" x14ac:dyDescent="0.2">
      <c r="A191" s="706">
        <f>'Kalkulation Herstellungskosten'!B284</f>
        <v>0</v>
      </c>
      <c r="B191" s="674">
        <f>'Kalkulation Herstellungskosten'!E284</f>
        <v>0</v>
      </c>
      <c r="C191" s="666"/>
      <c r="D191" s="86"/>
      <c r="E191" s="86"/>
      <c r="F191" s="86"/>
      <c r="G191" s="687"/>
      <c r="H191" s="86"/>
      <c r="I191" s="86"/>
      <c r="J191" s="687"/>
      <c r="K191" s="86"/>
      <c r="L191" s="86"/>
      <c r="M191" s="86"/>
      <c r="N191" s="86"/>
      <c r="O191" s="86"/>
      <c r="P191" s="86"/>
      <c r="Q191" s="86"/>
      <c r="R191" s="86"/>
      <c r="S191" s="86"/>
      <c r="T191" s="687"/>
      <c r="U191" s="666"/>
      <c r="V191" s="666"/>
      <c r="W191" s="666"/>
      <c r="X191" s="666"/>
      <c r="Y191" s="666"/>
      <c r="Z191" s="666"/>
      <c r="AA191" s="666"/>
      <c r="AB191" s="666"/>
      <c r="AC191" s="666"/>
      <c r="AD191" s="666"/>
      <c r="AE191" s="666"/>
      <c r="AF191" s="666"/>
      <c r="AG191" s="666"/>
      <c r="AH191" s="666"/>
      <c r="AI191" s="666"/>
      <c r="AJ191" s="666"/>
      <c r="AK191" s="666"/>
      <c r="AL191" s="666"/>
      <c r="AM191" s="666"/>
      <c r="AN191" s="666"/>
      <c r="AO191" s="666"/>
      <c r="AP191" s="666"/>
      <c r="AQ191" s="666"/>
      <c r="AR191" s="666"/>
      <c r="AS191" s="666"/>
      <c r="AT191" s="666"/>
      <c r="AU191" s="666"/>
      <c r="AV191" s="666"/>
      <c r="AW191" s="666"/>
      <c r="AX191" s="666"/>
      <c r="AY191" s="666"/>
      <c r="AZ191" s="666"/>
    </row>
    <row r="192" spans="1:52" ht="12.75" customHeight="1" x14ac:dyDescent="0.2">
      <c r="A192" s="666"/>
      <c r="B192" s="281"/>
      <c r="C192" s="666"/>
      <c r="D192" s="677"/>
      <c r="E192" s="678"/>
      <c r="F192" s="679"/>
      <c r="G192" s="679"/>
      <c r="H192" s="678"/>
      <c r="I192" s="678"/>
      <c r="J192" s="678"/>
      <c r="K192" s="678"/>
      <c r="L192" s="678"/>
      <c r="M192" s="680"/>
      <c r="N192" s="680"/>
      <c r="O192" s="666"/>
      <c r="P192" s="666"/>
      <c r="Q192" s="666"/>
      <c r="R192" s="666"/>
      <c r="S192" s="666"/>
      <c r="T192" s="678"/>
      <c r="U192" s="666"/>
      <c r="V192" s="666"/>
      <c r="W192" s="666"/>
      <c r="X192" s="666"/>
      <c r="Y192" s="666"/>
      <c r="Z192" s="666"/>
      <c r="AA192" s="666"/>
      <c r="AB192" s="666"/>
      <c r="AC192" s="666"/>
      <c r="AD192" s="666"/>
      <c r="AE192" s="666"/>
      <c r="AF192" s="666"/>
      <c r="AG192" s="666"/>
      <c r="AH192" s="666"/>
      <c r="AI192" s="666"/>
      <c r="AJ192" s="666"/>
      <c r="AK192" s="666"/>
      <c r="AL192" s="666"/>
      <c r="AM192" s="666"/>
      <c r="AN192" s="666"/>
      <c r="AO192" s="666"/>
      <c r="AP192" s="666"/>
      <c r="AQ192" s="666"/>
      <c r="AR192" s="666"/>
      <c r="AS192" s="666"/>
      <c r="AT192" s="666"/>
      <c r="AU192" s="666"/>
      <c r="AV192" s="666"/>
      <c r="AW192" s="666"/>
      <c r="AX192" s="666"/>
      <c r="AY192" s="666"/>
      <c r="AZ192" s="666"/>
    </row>
    <row r="193" spans="1:52" ht="12.75" customHeight="1" x14ac:dyDescent="0.2">
      <c r="A193" s="963" t="s">
        <v>1064</v>
      </c>
      <c r="B193" s="962">
        <f ca="1">SUM(B5:B192)</f>
        <v>0</v>
      </c>
      <c r="C193" s="666"/>
      <c r="D193" s="964">
        <f>SUM(D5:D192)</f>
        <v>0</v>
      </c>
      <c r="E193" s="965">
        <f>SUM(E5:E192)</f>
        <v>0</v>
      </c>
      <c r="F193" s="965"/>
      <c r="G193" s="964">
        <f>SUM(G5:G192)</f>
        <v>0</v>
      </c>
      <c r="H193" s="965">
        <f>SUM(H5:H192)</f>
        <v>0</v>
      </c>
      <c r="I193" s="965"/>
      <c r="J193" s="964">
        <f t="shared" ref="J193:R193" si="23">SUM(J5:J192)</f>
        <v>0</v>
      </c>
      <c r="K193" s="965">
        <f t="shared" si="23"/>
        <v>0</v>
      </c>
      <c r="L193" s="965">
        <f t="shared" si="23"/>
        <v>0</v>
      </c>
      <c r="M193" s="965">
        <f t="shared" si="23"/>
        <v>0</v>
      </c>
      <c r="N193" s="965">
        <f t="shared" si="23"/>
        <v>0</v>
      </c>
      <c r="O193" s="965">
        <f t="shared" si="23"/>
        <v>0</v>
      </c>
      <c r="P193" s="965">
        <f t="shared" si="23"/>
        <v>0</v>
      </c>
      <c r="Q193" s="965">
        <f t="shared" si="23"/>
        <v>0</v>
      </c>
      <c r="R193" s="965">
        <f t="shared" si="23"/>
        <v>0</v>
      </c>
      <c r="S193" s="965"/>
      <c r="T193" s="964">
        <f>SUM(T5:T192)</f>
        <v>0</v>
      </c>
      <c r="U193" s="666"/>
      <c r="V193" s="666"/>
      <c r="W193" s="666"/>
      <c r="X193" s="666"/>
      <c r="Y193" s="666"/>
      <c r="Z193" s="666"/>
      <c r="AA193" s="666"/>
      <c r="AB193" s="666"/>
      <c r="AC193" s="666"/>
      <c r="AD193" s="666"/>
      <c r="AE193" s="666"/>
      <c r="AF193" s="666"/>
      <c r="AG193" s="666"/>
      <c r="AH193" s="666"/>
      <c r="AI193" s="666"/>
      <c r="AJ193" s="666"/>
      <c r="AK193" s="666"/>
      <c r="AL193" s="666"/>
      <c r="AM193" s="666"/>
      <c r="AN193" s="666"/>
      <c r="AO193" s="666"/>
      <c r="AP193" s="666"/>
      <c r="AQ193" s="666"/>
      <c r="AR193" s="666"/>
      <c r="AS193" s="666"/>
      <c r="AT193" s="666"/>
      <c r="AU193" s="666"/>
      <c r="AV193" s="666"/>
      <c r="AW193" s="666"/>
      <c r="AX193" s="666"/>
      <c r="AY193" s="666"/>
      <c r="AZ193" s="666"/>
    </row>
    <row r="194" spans="1:52" x14ac:dyDescent="0.2">
      <c r="A194" s="666"/>
      <c r="B194" s="666"/>
      <c r="C194" s="666"/>
      <c r="D194" s="677"/>
      <c r="E194" s="678"/>
      <c r="F194" s="679"/>
      <c r="G194" s="679"/>
      <c r="H194" s="678"/>
      <c r="I194" s="678"/>
      <c r="J194" s="678"/>
      <c r="K194" s="678"/>
      <c r="L194" s="678"/>
      <c r="M194" s="680"/>
      <c r="N194" s="680"/>
      <c r="O194" s="666"/>
      <c r="P194" s="666"/>
      <c r="Q194" s="666"/>
      <c r="R194" s="666"/>
      <c r="S194" s="666"/>
      <c r="T194" s="666"/>
      <c r="U194" s="666"/>
      <c r="V194" s="666"/>
      <c r="W194" s="666"/>
      <c r="X194" s="666"/>
      <c r="Y194" s="666"/>
      <c r="Z194" s="666"/>
      <c r="AA194" s="666"/>
      <c r="AB194" s="666"/>
      <c r="AC194" s="666"/>
      <c r="AD194" s="666"/>
      <c r="AE194" s="666"/>
      <c r="AF194" s="666"/>
      <c r="AG194" s="666"/>
      <c r="AH194" s="666"/>
      <c r="AI194" s="666"/>
      <c r="AJ194" s="666"/>
      <c r="AK194" s="666"/>
      <c r="AL194" s="666"/>
      <c r="AM194" s="666"/>
      <c r="AN194" s="666"/>
      <c r="AO194" s="666"/>
      <c r="AP194" s="666"/>
      <c r="AQ194" s="666"/>
      <c r="AR194" s="666"/>
      <c r="AS194" s="666"/>
      <c r="AT194" s="666"/>
      <c r="AU194" s="666"/>
      <c r="AV194" s="666"/>
      <c r="AW194" s="666"/>
      <c r="AX194" s="666"/>
      <c r="AY194" s="666"/>
      <c r="AZ194" s="666"/>
    </row>
    <row r="195" spans="1:52" x14ac:dyDescent="0.2">
      <c r="A195" s="670"/>
      <c r="B195" s="666"/>
      <c r="C195" s="666"/>
      <c r="D195" s="677"/>
      <c r="E195" s="678"/>
      <c r="F195" s="679"/>
      <c r="G195" s="679"/>
      <c r="H195" s="678"/>
      <c r="I195" s="678"/>
      <c r="J195" s="678"/>
      <c r="K195" s="678"/>
      <c r="L195" s="678"/>
      <c r="M195" s="680"/>
      <c r="N195" s="680"/>
      <c r="O195" s="666"/>
      <c r="P195" s="666"/>
      <c r="Q195" s="666"/>
      <c r="R195" s="666"/>
      <c r="S195" s="666"/>
      <c r="T195" s="666"/>
      <c r="U195" s="666"/>
      <c r="V195" s="666"/>
      <c r="W195" s="666"/>
      <c r="X195" s="666"/>
      <c r="Y195" s="666"/>
      <c r="Z195" s="666"/>
      <c r="AA195" s="666"/>
      <c r="AB195" s="666"/>
      <c r="AC195" s="666"/>
      <c r="AD195" s="666"/>
      <c r="AE195" s="666"/>
      <c r="AF195" s="666"/>
      <c r="AG195" s="666"/>
      <c r="AH195" s="666"/>
      <c r="AI195" s="666"/>
      <c r="AJ195" s="666"/>
      <c r="AK195" s="666"/>
      <c r="AL195" s="666"/>
      <c r="AM195" s="666"/>
      <c r="AN195" s="666"/>
      <c r="AO195" s="666"/>
      <c r="AP195" s="666"/>
      <c r="AQ195" s="666"/>
      <c r="AR195" s="666"/>
      <c r="AS195" s="666"/>
      <c r="AT195" s="666"/>
      <c r="AU195" s="666"/>
      <c r="AV195" s="666"/>
      <c r="AW195" s="666"/>
      <c r="AX195" s="666"/>
      <c r="AY195" s="666"/>
      <c r="AZ195" s="666"/>
    </row>
    <row r="196" spans="1:52" ht="24" customHeight="1" x14ac:dyDescent="0.2">
      <c r="A196" s="905" t="s">
        <v>1060</v>
      </c>
      <c r="B196" s="666"/>
      <c r="C196" s="666"/>
      <c r="D196" s="677"/>
      <c r="E196" s="678"/>
      <c r="F196" s="679"/>
      <c r="G196" s="679"/>
      <c r="H196" s="678"/>
      <c r="I196" s="678"/>
      <c r="J196" s="678"/>
      <c r="K196" s="678"/>
      <c r="L196" s="678"/>
      <c r="M196" s="680"/>
      <c r="N196" s="680"/>
      <c r="O196" s="666"/>
      <c r="P196" s="666"/>
      <c r="Q196" s="666"/>
      <c r="R196" s="666"/>
      <c r="S196" s="666"/>
      <c r="T196" s="666"/>
      <c r="U196" s="666"/>
      <c r="V196" s="666"/>
      <c r="W196" s="666"/>
      <c r="X196" s="666"/>
      <c r="Y196" s="666"/>
      <c r="Z196" s="666"/>
      <c r="AA196" s="666"/>
      <c r="AB196" s="666"/>
      <c r="AC196" s="666"/>
      <c r="AD196" s="666"/>
      <c r="AE196" s="666"/>
      <c r="AF196" s="666"/>
      <c r="AG196" s="666"/>
      <c r="AH196" s="666"/>
      <c r="AI196" s="666"/>
      <c r="AJ196" s="666"/>
      <c r="AK196" s="666"/>
      <c r="AL196" s="666"/>
      <c r="AM196" s="666"/>
      <c r="AN196" s="666"/>
      <c r="AO196" s="666"/>
      <c r="AP196" s="666"/>
      <c r="AQ196" s="666"/>
      <c r="AR196" s="666"/>
      <c r="AS196" s="666"/>
      <c r="AT196" s="666"/>
      <c r="AU196" s="666"/>
      <c r="AV196" s="666"/>
      <c r="AW196" s="666"/>
      <c r="AX196" s="666"/>
      <c r="AY196" s="666"/>
      <c r="AZ196" s="666"/>
    </row>
    <row r="197" spans="1:52" ht="12.75" x14ac:dyDescent="0.2">
      <c r="A197" s="796">
        <f>Darsteller!B4</f>
        <v>0</v>
      </c>
      <c r="B197" s="902">
        <f>Darsteller!F4</f>
        <v>0</v>
      </c>
      <c r="C197" s="666"/>
      <c r="D197" s="903"/>
      <c r="E197" s="903"/>
      <c r="F197" s="903"/>
      <c r="G197" s="690">
        <f t="shared" ref="G197" si="24">E197*F197</f>
        <v>0</v>
      </c>
      <c r="H197" s="903"/>
      <c r="I197" s="903"/>
      <c r="J197" s="690">
        <f t="shared" ref="J197" si="25">H197*I197</f>
        <v>0</v>
      </c>
      <c r="K197" s="903"/>
      <c r="L197" s="903"/>
      <c r="M197" s="903"/>
      <c r="N197" s="903"/>
      <c r="O197" s="903"/>
      <c r="P197" s="903"/>
      <c r="Q197" s="903"/>
      <c r="R197" s="903"/>
      <c r="S197" s="903"/>
      <c r="T197" s="690">
        <f t="shared" ref="T197" si="26">R197*S197</f>
        <v>0</v>
      </c>
      <c r="U197" s="666"/>
      <c r="V197" s="666"/>
      <c r="W197" s="666"/>
      <c r="X197" s="666"/>
      <c r="Y197" s="666"/>
      <c r="Z197" s="666"/>
      <c r="AA197" s="666"/>
      <c r="AB197" s="666"/>
      <c r="AC197" s="666"/>
      <c r="AD197" s="666"/>
      <c r="AE197" s="666"/>
      <c r="AF197" s="666"/>
      <c r="AG197" s="666"/>
      <c r="AH197" s="666"/>
      <c r="AI197" s="666"/>
      <c r="AJ197" s="666"/>
      <c r="AK197" s="666"/>
      <c r="AL197" s="666"/>
      <c r="AM197" s="666"/>
      <c r="AN197" s="666"/>
      <c r="AO197" s="666"/>
      <c r="AP197" s="666"/>
      <c r="AQ197" s="666"/>
      <c r="AR197" s="666"/>
      <c r="AS197" s="666"/>
      <c r="AT197" s="666"/>
      <c r="AU197" s="666"/>
      <c r="AV197" s="666"/>
      <c r="AW197" s="666"/>
      <c r="AX197" s="666"/>
      <c r="AY197" s="666"/>
      <c r="AZ197" s="666"/>
    </row>
    <row r="198" spans="1:52" ht="12.75" x14ac:dyDescent="0.2">
      <c r="A198" s="796">
        <f>Darsteller!B5</f>
        <v>0</v>
      </c>
      <c r="B198" s="902">
        <f>Darsteller!F5</f>
        <v>0</v>
      </c>
      <c r="C198" s="666"/>
      <c r="D198" s="903"/>
      <c r="E198" s="903"/>
      <c r="F198" s="903"/>
      <c r="G198" s="690">
        <f t="shared" ref="G198:G246" si="27">E198*F198</f>
        <v>0</v>
      </c>
      <c r="H198" s="903"/>
      <c r="I198" s="903"/>
      <c r="J198" s="690">
        <f t="shared" ref="J198:J246" si="28">H198*I198</f>
        <v>0</v>
      </c>
      <c r="K198" s="903"/>
      <c r="L198" s="903"/>
      <c r="M198" s="903"/>
      <c r="N198" s="903"/>
      <c r="O198" s="903"/>
      <c r="P198" s="903"/>
      <c r="Q198" s="903"/>
      <c r="R198" s="903"/>
      <c r="S198" s="903"/>
      <c r="T198" s="690">
        <f t="shared" ref="T198:T246" si="29">R198*S198</f>
        <v>0</v>
      </c>
      <c r="U198" s="666"/>
      <c r="V198" s="666"/>
      <c r="W198" s="666"/>
      <c r="X198" s="666"/>
      <c r="Y198" s="666"/>
      <c r="Z198" s="666"/>
      <c r="AA198" s="666"/>
      <c r="AB198" s="666"/>
      <c r="AC198" s="666"/>
      <c r="AD198" s="666"/>
      <c r="AE198" s="666"/>
      <c r="AF198" s="666"/>
      <c r="AG198" s="666"/>
      <c r="AH198" s="666"/>
      <c r="AI198" s="666"/>
      <c r="AJ198" s="666"/>
      <c r="AK198" s="666"/>
      <c r="AL198" s="666"/>
      <c r="AM198" s="666"/>
      <c r="AN198" s="666"/>
      <c r="AO198" s="666"/>
      <c r="AP198" s="666"/>
      <c r="AQ198" s="666"/>
      <c r="AR198" s="666"/>
      <c r="AS198" s="666"/>
      <c r="AT198" s="666"/>
      <c r="AU198" s="666"/>
      <c r="AV198" s="666"/>
      <c r="AW198" s="666"/>
      <c r="AX198" s="666"/>
      <c r="AY198" s="666"/>
      <c r="AZ198" s="666"/>
    </row>
    <row r="199" spans="1:52" ht="12.75" x14ac:dyDescent="0.2">
      <c r="A199" s="796">
        <f>Darsteller!B6</f>
        <v>0</v>
      </c>
      <c r="B199" s="902">
        <f>Darsteller!F6</f>
        <v>0</v>
      </c>
      <c r="C199" s="666"/>
      <c r="D199" s="903"/>
      <c r="E199" s="903"/>
      <c r="F199" s="903"/>
      <c r="G199" s="690">
        <f t="shared" si="27"/>
        <v>0</v>
      </c>
      <c r="H199" s="903"/>
      <c r="I199" s="903"/>
      <c r="J199" s="690">
        <f t="shared" si="28"/>
        <v>0</v>
      </c>
      <c r="K199" s="903"/>
      <c r="L199" s="903"/>
      <c r="M199" s="903"/>
      <c r="N199" s="903"/>
      <c r="O199" s="903"/>
      <c r="P199" s="903"/>
      <c r="Q199" s="903"/>
      <c r="R199" s="903"/>
      <c r="S199" s="903"/>
      <c r="T199" s="690">
        <f t="shared" si="29"/>
        <v>0</v>
      </c>
      <c r="U199" s="666"/>
      <c r="V199" s="666"/>
      <c r="W199" s="666"/>
      <c r="X199" s="666"/>
      <c r="Y199" s="666"/>
      <c r="Z199" s="666"/>
      <c r="AA199" s="666"/>
      <c r="AB199" s="666"/>
      <c r="AC199" s="666"/>
      <c r="AD199" s="666"/>
      <c r="AE199" s="666"/>
      <c r="AF199" s="666"/>
      <c r="AG199" s="666"/>
      <c r="AH199" s="666"/>
      <c r="AI199" s="666"/>
      <c r="AJ199" s="666"/>
      <c r="AK199" s="666"/>
      <c r="AL199" s="666"/>
      <c r="AM199" s="666"/>
      <c r="AN199" s="666"/>
      <c r="AO199" s="666"/>
      <c r="AP199" s="666"/>
      <c r="AQ199" s="666"/>
      <c r="AR199" s="666"/>
      <c r="AS199" s="666"/>
      <c r="AT199" s="666"/>
      <c r="AU199" s="666"/>
      <c r="AV199" s="666"/>
      <c r="AW199" s="666"/>
      <c r="AX199" s="666"/>
      <c r="AY199" s="666"/>
      <c r="AZ199" s="666"/>
    </row>
    <row r="200" spans="1:52" ht="12.75" x14ac:dyDescent="0.2">
      <c r="A200" s="796">
        <f>Darsteller!B7</f>
        <v>0</v>
      </c>
      <c r="B200" s="902">
        <f>Darsteller!F7</f>
        <v>0</v>
      </c>
      <c r="C200" s="666"/>
      <c r="D200" s="903"/>
      <c r="E200" s="903"/>
      <c r="F200" s="903"/>
      <c r="G200" s="690">
        <f t="shared" si="27"/>
        <v>0</v>
      </c>
      <c r="H200" s="903"/>
      <c r="I200" s="903"/>
      <c r="J200" s="690">
        <f t="shared" si="28"/>
        <v>0</v>
      </c>
      <c r="K200" s="903"/>
      <c r="L200" s="903"/>
      <c r="M200" s="903"/>
      <c r="N200" s="903"/>
      <c r="O200" s="903"/>
      <c r="P200" s="903"/>
      <c r="Q200" s="903"/>
      <c r="R200" s="903"/>
      <c r="S200" s="903"/>
      <c r="T200" s="690">
        <f t="shared" si="29"/>
        <v>0</v>
      </c>
      <c r="U200" s="666"/>
      <c r="V200" s="666"/>
      <c r="W200" s="666"/>
      <c r="X200" s="666"/>
      <c r="Y200" s="666"/>
      <c r="Z200" s="666"/>
      <c r="AA200" s="666"/>
      <c r="AB200" s="666"/>
      <c r="AC200" s="666"/>
      <c r="AD200" s="666"/>
      <c r="AE200" s="666"/>
      <c r="AF200" s="666"/>
      <c r="AG200" s="666"/>
      <c r="AH200" s="666"/>
      <c r="AI200" s="666"/>
      <c r="AJ200" s="666"/>
      <c r="AK200" s="666"/>
      <c r="AL200" s="666"/>
      <c r="AM200" s="666"/>
      <c r="AN200" s="666"/>
      <c r="AO200" s="666"/>
      <c r="AP200" s="666"/>
      <c r="AQ200" s="666"/>
      <c r="AR200" s="666"/>
      <c r="AS200" s="666"/>
      <c r="AT200" s="666"/>
      <c r="AU200" s="666"/>
      <c r="AV200" s="666"/>
      <c r="AW200" s="666"/>
      <c r="AX200" s="666"/>
      <c r="AY200" s="666"/>
      <c r="AZ200" s="666"/>
    </row>
    <row r="201" spans="1:52" ht="12.75" x14ac:dyDescent="0.2">
      <c r="A201" s="796">
        <f>Darsteller!B8</f>
        <v>0</v>
      </c>
      <c r="B201" s="902">
        <f>Darsteller!F8</f>
        <v>0</v>
      </c>
      <c r="C201" s="666"/>
      <c r="D201" s="903"/>
      <c r="E201" s="903"/>
      <c r="F201" s="903"/>
      <c r="G201" s="690">
        <f t="shared" si="27"/>
        <v>0</v>
      </c>
      <c r="H201" s="903"/>
      <c r="I201" s="903"/>
      <c r="J201" s="690">
        <f t="shared" si="28"/>
        <v>0</v>
      </c>
      <c r="K201" s="903"/>
      <c r="L201" s="903"/>
      <c r="M201" s="903"/>
      <c r="N201" s="903"/>
      <c r="O201" s="903"/>
      <c r="P201" s="903"/>
      <c r="Q201" s="903"/>
      <c r="R201" s="903"/>
      <c r="S201" s="903"/>
      <c r="T201" s="690">
        <f t="shared" si="29"/>
        <v>0</v>
      </c>
      <c r="U201" s="666"/>
      <c r="V201" s="666"/>
      <c r="W201" s="666"/>
      <c r="X201" s="666"/>
      <c r="Y201" s="666"/>
      <c r="Z201" s="666"/>
      <c r="AA201" s="666"/>
      <c r="AB201" s="666"/>
      <c r="AC201" s="666"/>
      <c r="AD201" s="666"/>
      <c r="AE201" s="666"/>
      <c r="AF201" s="666"/>
      <c r="AG201" s="666"/>
      <c r="AH201" s="666"/>
      <c r="AI201" s="666"/>
      <c r="AJ201" s="666"/>
      <c r="AK201" s="666"/>
      <c r="AL201" s="666"/>
      <c r="AM201" s="666"/>
      <c r="AN201" s="666"/>
      <c r="AO201" s="666"/>
      <c r="AP201" s="666"/>
      <c r="AQ201" s="666"/>
      <c r="AR201" s="666"/>
      <c r="AS201" s="666"/>
      <c r="AT201" s="666"/>
      <c r="AU201" s="666"/>
      <c r="AV201" s="666"/>
      <c r="AW201" s="666"/>
      <c r="AX201" s="666"/>
      <c r="AY201" s="666"/>
      <c r="AZ201" s="666"/>
    </row>
    <row r="202" spans="1:52" ht="12.75" x14ac:dyDescent="0.2">
      <c r="A202" s="796">
        <f>Darsteller!B9</f>
        <v>0</v>
      </c>
      <c r="B202" s="902">
        <f>Darsteller!F9</f>
        <v>0</v>
      </c>
      <c r="C202" s="666"/>
      <c r="D202" s="903"/>
      <c r="E202" s="903"/>
      <c r="F202" s="903"/>
      <c r="G202" s="690">
        <f t="shared" si="27"/>
        <v>0</v>
      </c>
      <c r="H202" s="903"/>
      <c r="I202" s="903"/>
      <c r="J202" s="690">
        <f t="shared" si="28"/>
        <v>0</v>
      </c>
      <c r="K202" s="903"/>
      <c r="L202" s="903"/>
      <c r="M202" s="903"/>
      <c r="N202" s="903"/>
      <c r="O202" s="903"/>
      <c r="P202" s="903"/>
      <c r="Q202" s="903"/>
      <c r="R202" s="903"/>
      <c r="S202" s="903"/>
      <c r="T202" s="690">
        <f t="shared" si="29"/>
        <v>0</v>
      </c>
      <c r="U202" s="666"/>
      <c r="V202" s="666"/>
      <c r="W202" s="666"/>
      <c r="X202" s="666"/>
      <c r="Y202" s="666"/>
      <c r="Z202" s="666"/>
      <c r="AA202" s="666"/>
      <c r="AB202" s="666"/>
      <c r="AC202" s="666"/>
      <c r="AD202" s="666"/>
      <c r="AE202" s="666"/>
      <c r="AF202" s="666"/>
      <c r="AG202" s="666"/>
      <c r="AH202" s="666"/>
      <c r="AI202" s="666"/>
      <c r="AJ202" s="666"/>
      <c r="AK202" s="666"/>
      <c r="AL202" s="666"/>
      <c r="AM202" s="666"/>
      <c r="AN202" s="666"/>
      <c r="AO202" s="666"/>
      <c r="AP202" s="666"/>
      <c r="AQ202" s="666"/>
      <c r="AR202" s="666"/>
      <c r="AS202" s="666"/>
      <c r="AT202" s="666"/>
      <c r="AU202" s="666"/>
      <c r="AV202" s="666"/>
      <c r="AW202" s="666"/>
      <c r="AX202" s="666"/>
      <c r="AY202" s="666"/>
      <c r="AZ202" s="666"/>
    </row>
    <row r="203" spans="1:52" ht="12.75" x14ac:dyDescent="0.2">
      <c r="A203" s="796">
        <f>Darsteller!B10</f>
        <v>0</v>
      </c>
      <c r="B203" s="902">
        <f>Darsteller!F10</f>
        <v>0</v>
      </c>
      <c r="C203" s="666"/>
      <c r="D203" s="903"/>
      <c r="E203" s="903"/>
      <c r="F203" s="903"/>
      <c r="G203" s="690">
        <f t="shared" si="27"/>
        <v>0</v>
      </c>
      <c r="H203" s="903"/>
      <c r="I203" s="903"/>
      <c r="J203" s="690">
        <f t="shared" si="28"/>
        <v>0</v>
      </c>
      <c r="K203" s="903"/>
      <c r="L203" s="903"/>
      <c r="M203" s="903"/>
      <c r="N203" s="903"/>
      <c r="O203" s="903"/>
      <c r="P203" s="903"/>
      <c r="Q203" s="903"/>
      <c r="R203" s="903"/>
      <c r="S203" s="903"/>
      <c r="T203" s="690">
        <f t="shared" si="29"/>
        <v>0</v>
      </c>
      <c r="U203" s="666"/>
      <c r="V203" s="666"/>
      <c r="W203" s="666"/>
      <c r="X203" s="666"/>
      <c r="Y203" s="666"/>
      <c r="Z203" s="666"/>
      <c r="AA203" s="666"/>
      <c r="AB203" s="666"/>
      <c r="AC203" s="666"/>
      <c r="AD203" s="666"/>
      <c r="AE203" s="666"/>
      <c r="AF203" s="666"/>
      <c r="AG203" s="666"/>
      <c r="AH203" s="666"/>
      <c r="AI203" s="666"/>
      <c r="AJ203" s="666"/>
      <c r="AK203" s="666"/>
      <c r="AL203" s="666"/>
      <c r="AM203" s="666"/>
      <c r="AN203" s="666"/>
      <c r="AO203" s="666"/>
      <c r="AP203" s="666"/>
      <c r="AQ203" s="666"/>
      <c r="AR203" s="666"/>
      <c r="AS203" s="666"/>
      <c r="AT203" s="666"/>
      <c r="AU203" s="666"/>
      <c r="AV203" s="666"/>
      <c r="AW203" s="666"/>
      <c r="AX203" s="666"/>
      <c r="AY203" s="666"/>
      <c r="AZ203" s="666"/>
    </row>
    <row r="204" spans="1:52" ht="12.75" x14ac:dyDescent="0.2">
      <c r="A204" s="796">
        <f>Darsteller!B11</f>
        <v>0</v>
      </c>
      <c r="B204" s="902">
        <f>Darsteller!F11</f>
        <v>0</v>
      </c>
      <c r="C204" s="666"/>
      <c r="D204" s="903"/>
      <c r="E204" s="903"/>
      <c r="F204" s="903"/>
      <c r="G204" s="690">
        <f t="shared" si="27"/>
        <v>0</v>
      </c>
      <c r="H204" s="903"/>
      <c r="I204" s="903"/>
      <c r="J204" s="690">
        <f t="shared" si="28"/>
        <v>0</v>
      </c>
      <c r="K204" s="903"/>
      <c r="L204" s="903"/>
      <c r="M204" s="903"/>
      <c r="N204" s="903"/>
      <c r="O204" s="903"/>
      <c r="P204" s="903"/>
      <c r="Q204" s="903"/>
      <c r="R204" s="903"/>
      <c r="S204" s="903"/>
      <c r="T204" s="690">
        <f t="shared" si="29"/>
        <v>0</v>
      </c>
      <c r="U204" s="666"/>
      <c r="V204" s="666"/>
      <c r="W204" s="666"/>
      <c r="X204" s="666"/>
      <c r="Y204" s="666"/>
      <c r="Z204" s="666"/>
      <c r="AA204" s="666"/>
      <c r="AB204" s="666"/>
      <c r="AC204" s="666"/>
      <c r="AD204" s="666"/>
      <c r="AE204" s="666"/>
      <c r="AF204" s="666"/>
      <c r="AG204" s="666"/>
      <c r="AH204" s="666"/>
      <c r="AI204" s="666"/>
      <c r="AJ204" s="666"/>
      <c r="AK204" s="666"/>
      <c r="AL204" s="666"/>
      <c r="AM204" s="666"/>
      <c r="AN204" s="666"/>
      <c r="AO204" s="666"/>
      <c r="AP204" s="666"/>
      <c r="AQ204" s="666"/>
      <c r="AR204" s="666"/>
      <c r="AS204" s="666"/>
      <c r="AT204" s="666"/>
      <c r="AU204" s="666"/>
      <c r="AV204" s="666"/>
      <c r="AW204" s="666"/>
      <c r="AX204" s="666"/>
      <c r="AY204" s="666"/>
      <c r="AZ204" s="666"/>
    </row>
    <row r="205" spans="1:52" ht="12.75" x14ac:dyDescent="0.2">
      <c r="A205" s="796">
        <f>Darsteller!B12</f>
        <v>0</v>
      </c>
      <c r="B205" s="902">
        <f>Darsteller!F12</f>
        <v>0</v>
      </c>
      <c r="C205" s="666"/>
      <c r="D205" s="903"/>
      <c r="E205" s="903"/>
      <c r="F205" s="903"/>
      <c r="G205" s="690">
        <f t="shared" si="27"/>
        <v>0</v>
      </c>
      <c r="H205" s="903"/>
      <c r="I205" s="903"/>
      <c r="J205" s="690">
        <f t="shared" si="28"/>
        <v>0</v>
      </c>
      <c r="K205" s="903"/>
      <c r="L205" s="903"/>
      <c r="M205" s="903"/>
      <c r="N205" s="903"/>
      <c r="O205" s="903"/>
      <c r="P205" s="903"/>
      <c r="Q205" s="903"/>
      <c r="R205" s="903"/>
      <c r="S205" s="903"/>
      <c r="T205" s="690">
        <f t="shared" si="29"/>
        <v>0</v>
      </c>
      <c r="U205" s="666"/>
      <c r="V205" s="666"/>
      <c r="W205" s="666"/>
      <c r="X205" s="666"/>
      <c r="Y205" s="666"/>
      <c r="Z205" s="666"/>
      <c r="AA205" s="666"/>
      <c r="AB205" s="666"/>
      <c r="AC205" s="666"/>
      <c r="AD205" s="666"/>
      <c r="AE205" s="666"/>
      <c r="AF205" s="666"/>
      <c r="AG205" s="666"/>
      <c r="AH205" s="666"/>
      <c r="AI205" s="666"/>
      <c r="AJ205" s="666"/>
      <c r="AK205" s="666"/>
      <c r="AL205" s="666"/>
      <c r="AM205" s="666"/>
      <c r="AN205" s="666"/>
      <c r="AO205" s="666"/>
      <c r="AP205" s="666"/>
      <c r="AQ205" s="666"/>
      <c r="AR205" s="666"/>
      <c r="AS205" s="666"/>
      <c r="AT205" s="666"/>
      <c r="AU205" s="666"/>
      <c r="AV205" s="666"/>
      <c r="AW205" s="666"/>
      <c r="AX205" s="666"/>
      <c r="AY205" s="666"/>
      <c r="AZ205" s="666"/>
    </row>
    <row r="206" spans="1:52" ht="12.75" x14ac:dyDescent="0.2">
      <c r="A206" s="796">
        <f>Darsteller!B13</f>
        <v>0</v>
      </c>
      <c r="B206" s="902">
        <f>Darsteller!F13</f>
        <v>0</v>
      </c>
      <c r="C206" s="666"/>
      <c r="D206" s="903"/>
      <c r="E206" s="903"/>
      <c r="F206" s="903"/>
      <c r="G206" s="690">
        <f t="shared" si="27"/>
        <v>0</v>
      </c>
      <c r="H206" s="903"/>
      <c r="I206" s="903"/>
      <c r="J206" s="690">
        <f t="shared" si="28"/>
        <v>0</v>
      </c>
      <c r="K206" s="903"/>
      <c r="L206" s="903"/>
      <c r="M206" s="903"/>
      <c r="N206" s="903"/>
      <c r="O206" s="903"/>
      <c r="P206" s="903"/>
      <c r="Q206" s="903"/>
      <c r="R206" s="903"/>
      <c r="S206" s="903"/>
      <c r="T206" s="690">
        <f t="shared" si="29"/>
        <v>0</v>
      </c>
      <c r="U206" s="666"/>
      <c r="V206" s="666"/>
      <c r="W206" s="666"/>
      <c r="X206" s="666"/>
      <c r="Y206" s="666"/>
      <c r="Z206" s="666"/>
      <c r="AA206" s="666"/>
      <c r="AB206" s="666"/>
      <c r="AC206" s="666"/>
      <c r="AD206" s="666"/>
      <c r="AE206" s="666"/>
      <c r="AF206" s="666"/>
      <c r="AG206" s="666"/>
      <c r="AH206" s="666"/>
      <c r="AI206" s="666"/>
      <c r="AJ206" s="666"/>
      <c r="AK206" s="666"/>
      <c r="AL206" s="666"/>
      <c r="AM206" s="666"/>
      <c r="AN206" s="666"/>
      <c r="AO206" s="666"/>
      <c r="AP206" s="666"/>
      <c r="AQ206" s="666"/>
      <c r="AR206" s="666"/>
      <c r="AS206" s="666"/>
      <c r="AT206" s="666"/>
      <c r="AU206" s="666"/>
      <c r="AV206" s="666"/>
      <c r="AW206" s="666"/>
      <c r="AX206" s="666"/>
      <c r="AY206" s="666"/>
      <c r="AZ206" s="666"/>
    </row>
    <row r="207" spans="1:52" ht="12.75" x14ac:dyDescent="0.2">
      <c r="A207" s="796">
        <f>Darsteller!B14</f>
        <v>0</v>
      </c>
      <c r="B207" s="902">
        <f>Darsteller!F14</f>
        <v>0</v>
      </c>
      <c r="C207" s="666"/>
      <c r="D207" s="903"/>
      <c r="E207" s="903"/>
      <c r="F207" s="903"/>
      <c r="G207" s="690">
        <f t="shared" si="27"/>
        <v>0</v>
      </c>
      <c r="H207" s="903"/>
      <c r="I207" s="903"/>
      <c r="J207" s="690">
        <f t="shared" si="28"/>
        <v>0</v>
      </c>
      <c r="K207" s="903"/>
      <c r="L207" s="903"/>
      <c r="M207" s="903"/>
      <c r="N207" s="903"/>
      <c r="O207" s="903"/>
      <c r="P207" s="903"/>
      <c r="Q207" s="903"/>
      <c r="R207" s="903"/>
      <c r="S207" s="903"/>
      <c r="T207" s="690">
        <f t="shared" si="29"/>
        <v>0</v>
      </c>
      <c r="U207" s="666"/>
      <c r="V207" s="666"/>
      <c r="W207" s="666"/>
      <c r="X207" s="666"/>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row>
    <row r="208" spans="1:52" ht="12.75" x14ac:dyDescent="0.2">
      <c r="A208" s="796">
        <f>Darsteller!B15</f>
        <v>0</v>
      </c>
      <c r="B208" s="902">
        <f>Darsteller!F15</f>
        <v>0</v>
      </c>
      <c r="C208" s="666"/>
      <c r="D208" s="903"/>
      <c r="E208" s="903"/>
      <c r="F208" s="903"/>
      <c r="G208" s="690"/>
      <c r="H208" s="903"/>
      <c r="I208" s="903"/>
      <c r="J208" s="690"/>
      <c r="K208" s="903"/>
      <c r="L208" s="903"/>
      <c r="M208" s="903"/>
      <c r="N208" s="903"/>
      <c r="O208" s="903"/>
      <c r="P208" s="903"/>
      <c r="Q208" s="903"/>
      <c r="R208" s="903"/>
      <c r="S208" s="903"/>
      <c r="T208" s="690"/>
      <c r="U208" s="666"/>
      <c r="V208" s="666"/>
      <c r="W208" s="666"/>
      <c r="X208" s="666"/>
      <c r="Y208" s="666"/>
      <c r="Z208" s="666"/>
      <c r="AA208" s="666"/>
      <c r="AB208" s="666"/>
      <c r="AC208" s="666"/>
      <c r="AD208" s="666"/>
      <c r="AE208" s="666"/>
      <c r="AF208" s="666"/>
      <c r="AG208" s="666"/>
      <c r="AH208" s="666"/>
      <c r="AI208" s="666"/>
      <c r="AJ208" s="666"/>
      <c r="AK208" s="666"/>
      <c r="AL208" s="666"/>
      <c r="AM208" s="666"/>
      <c r="AN208" s="666"/>
      <c r="AO208" s="666"/>
      <c r="AP208" s="666"/>
      <c r="AQ208" s="666"/>
      <c r="AR208" s="666"/>
      <c r="AS208" s="666"/>
      <c r="AT208" s="666"/>
      <c r="AU208" s="666"/>
      <c r="AV208" s="666"/>
      <c r="AW208" s="666"/>
      <c r="AX208" s="666"/>
      <c r="AY208" s="666"/>
      <c r="AZ208" s="666"/>
    </row>
    <row r="209" spans="1:52" ht="12.75" x14ac:dyDescent="0.2">
      <c r="A209" s="796">
        <f>Darsteller!B16</f>
        <v>0</v>
      </c>
      <c r="B209" s="902">
        <f>Darsteller!F16</f>
        <v>0</v>
      </c>
      <c r="C209" s="666"/>
      <c r="D209" s="903"/>
      <c r="E209" s="903"/>
      <c r="F209" s="903"/>
      <c r="G209" s="690"/>
      <c r="H209" s="903"/>
      <c r="I209" s="903"/>
      <c r="J209" s="690"/>
      <c r="K209" s="903"/>
      <c r="L209" s="903"/>
      <c r="M209" s="903"/>
      <c r="N209" s="903"/>
      <c r="O209" s="903"/>
      <c r="P209" s="903"/>
      <c r="Q209" s="903"/>
      <c r="R209" s="903"/>
      <c r="S209" s="903"/>
      <c r="T209" s="690"/>
      <c r="U209" s="666"/>
      <c r="V209" s="666"/>
      <c r="W209" s="666"/>
      <c r="X209" s="666"/>
      <c r="Y209" s="666"/>
      <c r="Z209" s="666"/>
      <c r="AA209" s="666"/>
      <c r="AB209" s="666"/>
      <c r="AC209" s="666"/>
      <c r="AD209" s="666"/>
      <c r="AE209" s="666"/>
      <c r="AF209" s="666"/>
      <c r="AG209" s="666"/>
      <c r="AH209" s="666"/>
      <c r="AI209" s="666"/>
      <c r="AJ209" s="666"/>
      <c r="AK209" s="666"/>
      <c r="AL209" s="666"/>
      <c r="AM209" s="666"/>
      <c r="AN209" s="666"/>
      <c r="AO209" s="666"/>
      <c r="AP209" s="666"/>
      <c r="AQ209" s="666"/>
      <c r="AR209" s="666"/>
      <c r="AS209" s="666"/>
      <c r="AT209" s="666"/>
      <c r="AU209" s="666"/>
      <c r="AV209" s="666"/>
      <c r="AW209" s="666"/>
      <c r="AX209" s="666"/>
      <c r="AY209" s="666"/>
      <c r="AZ209" s="666"/>
    </row>
    <row r="210" spans="1:52" ht="12.75" x14ac:dyDescent="0.2">
      <c r="A210" s="796">
        <f>Darsteller!B17</f>
        <v>0</v>
      </c>
      <c r="B210" s="902">
        <f>Darsteller!F17</f>
        <v>0</v>
      </c>
      <c r="C210" s="666"/>
      <c r="D210" s="903"/>
      <c r="E210" s="903"/>
      <c r="F210" s="903"/>
      <c r="G210" s="690"/>
      <c r="H210" s="903"/>
      <c r="I210" s="903"/>
      <c r="J210" s="690"/>
      <c r="K210" s="903"/>
      <c r="L210" s="903"/>
      <c r="M210" s="903"/>
      <c r="N210" s="903"/>
      <c r="O210" s="903"/>
      <c r="P210" s="903"/>
      <c r="Q210" s="903"/>
      <c r="R210" s="903"/>
      <c r="S210" s="903"/>
      <c r="T210" s="690"/>
      <c r="U210" s="666"/>
      <c r="V210" s="666"/>
      <c r="W210" s="666"/>
      <c r="X210" s="666"/>
      <c r="Y210" s="666"/>
      <c r="Z210" s="666"/>
      <c r="AA210" s="666"/>
      <c r="AB210" s="666"/>
      <c r="AC210" s="666"/>
      <c r="AD210" s="666"/>
      <c r="AE210" s="666"/>
      <c r="AF210" s="666"/>
      <c r="AG210" s="666"/>
      <c r="AH210" s="666"/>
      <c r="AI210" s="666"/>
      <c r="AJ210" s="666"/>
      <c r="AK210" s="666"/>
      <c r="AL210" s="666"/>
      <c r="AM210" s="666"/>
      <c r="AN210" s="666"/>
      <c r="AO210" s="666"/>
      <c r="AP210" s="666"/>
      <c r="AQ210" s="666"/>
      <c r="AR210" s="666"/>
      <c r="AS210" s="666"/>
      <c r="AT210" s="666"/>
      <c r="AU210" s="666"/>
      <c r="AV210" s="666"/>
      <c r="AW210" s="666"/>
      <c r="AX210" s="666"/>
      <c r="AY210" s="666"/>
      <c r="AZ210" s="666"/>
    </row>
    <row r="211" spans="1:52" ht="12.75" x14ac:dyDescent="0.2">
      <c r="A211" s="796">
        <f>Darsteller!B18</f>
        <v>0</v>
      </c>
      <c r="B211" s="902">
        <f>Darsteller!F18</f>
        <v>0</v>
      </c>
      <c r="C211" s="666"/>
      <c r="D211" s="903"/>
      <c r="E211" s="903"/>
      <c r="F211" s="903"/>
      <c r="G211" s="690"/>
      <c r="H211" s="903"/>
      <c r="I211" s="903"/>
      <c r="J211" s="690"/>
      <c r="K211" s="903"/>
      <c r="L211" s="903"/>
      <c r="M211" s="903"/>
      <c r="N211" s="903"/>
      <c r="O211" s="903"/>
      <c r="P211" s="903"/>
      <c r="Q211" s="903"/>
      <c r="R211" s="903"/>
      <c r="S211" s="903"/>
      <c r="T211" s="690"/>
      <c r="U211" s="666"/>
      <c r="V211" s="666"/>
      <c r="W211" s="666"/>
      <c r="X211" s="666"/>
      <c r="Y211" s="666"/>
      <c r="Z211" s="666"/>
      <c r="AA211" s="666"/>
      <c r="AB211" s="666"/>
      <c r="AC211" s="666"/>
      <c r="AD211" s="666"/>
      <c r="AE211" s="666"/>
      <c r="AF211" s="666"/>
      <c r="AG211" s="666"/>
      <c r="AH211" s="666"/>
      <c r="AI211" s="666"/>
      <c r="AJ211" s="666"/>
      <c r="AK211" s="666"/>
      <c r="AL211" s="666"/>
      <c r="AM211" s="666"/>
      <c r="AN211" s="666"/>
      <c r="AO211" s="666"/>
      <c r="AP211" s="666"/>
      <c r="AQ211" s="666"/>
      <c r="AR211" s="666"/>
      <c r="AS211" s="666"/>
      <c r="AT211" s="666"/>
      <c r="AU211" s="666"/>
      <c r="AV211" s="666"/>
      <c r="AW211" s="666"/>
      <c r="AX211" s="666"/>
      <c r="AY211" s="666"/>
      <c r="AZ211" s="666"/>
    </row>
    <row r="212" spans="1:52" ht="12.75" x14ac:dyDescent="0.2">
      <c r="A212" s="796">
        <f>Darsteller!B19</f>
        <v>0</v>
      </c>
      <c r="B212" s="902">
        <f>Darsteller!F19</f>
        <v>0</v>
      </c>
      <c r="C212" s="666"/>
      <c r="D212" s="903"/>
      <c r="E212" s="903"/>
      <c r="F212" s="903"/>
      <c r="G212" s="690"/>
      <c r="H212" s="903"/>
      <c r="I212" s="903"/>
      <c r="J212" s="690"/>
      <c r="K212" s="903"/>
      <c r="L212" s="903"/>
      <c r="M212" s="903"/>
      <c r="N212" s="903"/>
      <c r="O212" s="903"/>
      <c r="P212" s="903"/>
      <c r="Q212" s="903"/>
      <c r="R212" s="903"/>
      <c r="S212" s="903"/>
      <c r="T212" s="690"/>
      <c r="U212" s="666"/>
      <c r="V212" s="666"/>
      <c r="W212" s="666"/>
      <c r="X212" s="666"/>
      <c r="Y212" s="666"/>
      <c r="Z212" s="666"/>
      <c r="AA212" s="666"/>
      <c r="AB212" s="666"/>
      <c r="AC212" s="666"/>
      <c r="AD212" s="666"/>
      <c r="AE212" s="666"/>
      <c r="AF212" s="666"/>
      <c r="AG212" s="666"/>
      <c r="AH212" s="666"/>
      <c r="AI212" s="666"/>
      <c r="AJ212" s="666"/>
      <c r="AK212" s="666"/>
      <c r="AL212" s="666"/>
      <c r="AM212" s="666"/>
      <c r="AN212" s="666"/>
      <c r="AO212" s="666"/>
      <c r="AP212" s="666"/>
      <c r="AQ212" s="666"/>
      <c r="AR212" s="666"/>
      <c r="AS212" s="666"/>
      <c r="AT212" s="666"/>
      <c r="AU212" s="666"/>
      <c r="AV212" s="666"/>
      <c r="AW212" s="666"/>
      <c r="AX212" s="666"/>
      <c r="AY212" s="666"/>
      <c r="AZ212" s="666"/>
    </row>
    <row r="213" spans="1:52" ht="12.75" x14ac:dyDescent="0.2">
      <c r="A213" s="796">
        <f>Darsteller!B20</f>
        <v>0</v>
      </c>
      <c r="B213" s="902">
        <f>Darsteller!F20</f>
        <v>0</v>
      </c>
      <c r="C213" s="666"/>
      <c r="D213" s="903"/>
      <c r="E213" s="903"/>
      <c r="F213" s="903"/>
      <c r="G213" s="690"/>
      <c r="H213" s="903"/>
      <c r="I213" s="903"/>
      <c r="J213" s="690"/>
      <c r="K213" s="903"/>
      <c r="L213" s="903"/>
      <c r="M213" s="903"/>
      <c r="N213" s="903"/>
      <c r="O213" s="903"/>
      <c r="P213" s="903"/>
      <c r="Q213" s="903"/>
      <c r="R213" s="903"/>
      <c r="S213" s="903"/>
      <c r="T213" s="690"/>
      <c r="U213" s="666"/>
      <c r="V213" s="666"/>
      <c r="W213" s="666"/>
      <c r="X213" s="666"/>
      <c r="Y213" s="666"/>
      <c r="Z213" s="666"/>
      <c r="AA213" s="666"/>
      <c r="AB213" s="666"/>
      <c r="AC213" s="666"/>
      <c r="AD213" s="666"/>
      <c r="AE213" s="666"/>
      <c r="AF213" s="666"/>
      <c r="AG213" s="666"/>
      <c r="AH213" s="666"/>
      <c r="AI213" s="666"/>
      <c r="AJ213" s="666"/>
      <c r="AK213" s="666"/>
      <c r="AL213" s="666"/>
      <c r="AM213" s="666"/>
      <c r="AN213" s="666"/>
      <c r="AO213" s="666"/>
      <c r="AP213" s="666"/>
      <c r="AQ213" s="666"/>
      <c r="AR213" s="666"/>
      <c r="AS213" s="666"/>
      <c r="AT213" s="666"/>
      <c r="AU213" s="666"/>
      <c r="AV213" s="666"/>
      <c r="AW213" s="666"/>
      <c r="AX213" s="666"/>
      <c r="AY213" s="666"/>
      <c r="AZ213" s="666"/>
    </row>
    <row r="214" spans="1:52" ht="12.75" x14ac:dyDescent="0.2">
      <c r="A214" s="796">
        <f>Darsteller!B21</f>
        <v>0</v>
      </c>
      <c r="B214" s="902">
        <f>Darsteller!F21</f>
        <v>0</v>
      </c>
      <c r="C214" s="666"/>
      <c r="D214" s="903"/>
      <c r="E214" s="903"/>
      <c r="F214" s="903"/>
      <c r="G214" s="690"/>
      <c r="H214" s="903"/>
      <c r="I214" s="903"/>
      <c r="J214" s="690"/>
      <c r="K214" s="903"/>
      <c r="L214" s="903"/>
      <c r="M214" s="903"/>
      <c r="N214" s="903"/>
      <c r="O214" s="903"/>
      <c r="P214" s="903"/>
      <c r="Q214" s="903"/>
      <c r="R214" s="903"/>
      <c r="S214" s="903"/>
      <c r="T214" s="690"/>
      <c r="U214" s="666"/>
      <c r="V214" s="666"/>
      <c r="W214" s="666"/>
      <c r="X214" s="666"/>
      <c r="Y214" s="666"/>
      <c r="Z214" s="666"/>
      <c r="AA214" s="666"/>
      <c r="AB214" s="666"/>
      <c r="AC214" s="666"/>
      <c r="AD214" s="666"/>
      <c r="AE214" s="666"/>
      <c r="AF214" s="666"/>
      <c r="AG214" s="666"/>
      <c r="AH214" s="666"/>
      <c r="AI214" s="666"/>
      <c r="AJ214" s="666"/>
      <c r="AK214" s="666"/>
      <c r="AL214" s="666"/>
      <c r="AM214" s="666"/>
      <c r="AN214" s="666"/>
      <c r="AO214" s="666"/>
      <c r="AP214" s="666"/>
      <c r="AQ214" s="666"/>
      <c r="AR214" s="666"/>
      <c r="AS214" s="666"/>
      <c r="AT214" s="666"/>
      <c r="AU214" s="666"/>
      <c r="AV214" s="666"/>
      <c r="AW214" s="666"/>
      <c r="AX214" s="666"/>
      <c r="AY214" s="666"/>
      <c r="AZ214" s="666"/>
    </row>
    <row r="215" spans="1:52" ht="12.75" x14ac:dyDescent="0.2">
      <c r="A215" s="796">
        <f>Darsteller!B22</f>
        <v>0</v>
      </c>
      <c r="B215" s="902">
        <f>Darsteller!F22</f>
        <v>0</v>
      </c>
      <c r="C215" s="666"/>
      <c r="D215" s="903"/>
      <c r="E215" s="903"/>
      <c r="F215" s="903"/>
      <c r="G215" s="690"/>
      <c r="H215" s="903"/>
      <c r="I215" s="903"/>
      <c r="J215" s="690"/>
      <c r="K215" s="903"/>
      <c r="L215" s="903"/>
      <c r="M215" s="903"/>
      <c r="N215" s="903"/>
      <c r="O215" s="903"/>
      <c r="P215" s="903"/>
      <c r="Q215" s="903"/>
      <c r="R215" s="903"/>
      <c r="S215" s="903"/>
      <c r="T215" s="690"/>
      <c r="U215" s="666"/>
      <c r="V215" s="666"/>
      <c r="W215" s="666"/>
      <c r="X215" s="666"/>
      <c r="Y215" s="666"/>
      <c r="Z215" s="666"/>
      <c r="AA215" s="666"/>
      <c r="AB215" s="666"/>
      <c r="AC215" s="666"/>
      <c r="AD215" s="666"/>
      <c r="AE215" s="666"/>
      <c r="AF215" s="666"/>
      <c r="AG215" s="666"/>
      <c r="AH215" s="666"/>
      <c r="AI215" s="666"/>
      <c r="AJ215" s="666"/>
      <c r="AK215" s="666"/>
      <c r="AL215" s="666"/>
      <c r="AM215" s="666"/>
      <c r="AN215" s="666"/>
      <c r="AO215" s="666"/>
      <c r="AP215" s="666"/>
      <c r="AQ215" s="666"/>
      <c r="AR215" s="666"/>
      <c r="AS215" s="666"/>
      <c r="AT215" s="666"/>
      <c r="AU215" s="666"/>
      <c r="AV215" s="666"/>
      <c r="AW215" s="666"/>
      <c r="AX215" s="666"/>
      <c r="AY215" s="666"/>
      <c r="AZ215" s="666"/>
    </row>
    <row r="216" spans="1:52" ht="12.75" x14ac:dyDescent="0.2">
      <c r="A216" s="796">
        <f>Darsteller!B23</f>
        <v>0</v>
      </c>
      <c r="B216" s="902">
        <f>Darsteller!F23</f>
        <v>0</v>
      </c>
      <c r="C216" s="666"/>
      <c r="D216" s="903"/>
      <c r="E216" s="903"/>
      <c r="F216" s="903"/>
      <c r="G216" s="690"/>
      <c r="H216" s="903"/>
      <c r="I216" s="903"/>
      <c r="J216" s="690"/>
      <c r="K216" s="903"/>
      <c r="L216" s="903"/>
      <c r="M216" s="903"/>
      <c r="N216" s="903"/>
      <c r="O216" s="903"/>
      <c r="P216" s="903"/>
      <c r="Q216" s="903"/>
      <c r="R216" s="903"/>
      <c r="S216" s="903"/>
      <c r="T216" s="690"/>
      <c r="U216" s="666"/>
      <c r="V216" s="666"/>
      <c r="W216" s="666"/>
      <c r="X216" s="666"/>
      <c r="Y216" s="666"/>
      <c r="Z216" s="666"/>
      <c r="AA216" s="666"/>
      <c r="AB216" s="666"/>
      <c r="AC216" s="666"/>
      <c r="AD216" s="666"/>
      <c r="AE216" s="666"/>
      <c r="AF216" s="666"/>
      <c r="AG216" s="666"/>
      <c r="AH216" s="666"/>
      <c r="AI216" s="666"/>
      <c r="AJ216" s="666"/>
      <c r="AK216" s="666"/>
      <c r="AL216" s="666"/>
      <c r="AM216" s="666"/>
      <c r="AN216" s="666"/>
      <c r="AO216" s="666"/>
      <c r="AP216" s="666"/>
      <c r="AQ216" s="666"/>
      <c r="AR216" s="666"/>
      <c r="AS216" s="666"/>
      <c r="AT216" s="666"/>
      <c r="AU216" s="666"/>
      <c r="AV216" s="666"/>
      <c r="AW216" s="666"/>
      <c r="AX216" s="666"/>
      <c r="AY216" s="666"/>
      <c r="AZ216" s="666"/>
    </row>
    <row r="217" spans="1:52" ht="12.75" x14ac:dyDescent="0.2">
      <c r="A217" s="796">
        <f>Darsteller!B24</f>
        <v>0</v>
      </c>
      <c r="B217" s="902">
        <f>Darsteller!F24</f>
        <v>0</v>
      </c>
      <c r="C217" s="666"/>
      <c r="D217" s="903"/>
      <c r="E217" s="903"/>
      <c r="F217" s="903"/>
      <c r="G217" s="690"/>
      <c r="H217" s="903"/>
      <c r="I217" s="903"/>
      <c r="J217" s="690"/>
      <c r="K217" s="903"/>
      <c r="L217" s="903"/>
      <c r="M217" s="903"/>
      <c r="N217" s="903"/>
      <c r="O217" s="903"/>
      <c r="P217" s="903"/>
      <c r="Q217" s="903"/>
      <c r="R217" s="903"/>
      <c r="S217" s="903"/>
      <c r="T217" s="690"/>
      <c r="U217" s="666"/>
      <c r="V217" s="666"/>
      <c r="W217" s="666"/>
      <c r="X217" s="666"/>
      <c r="Y217" s="666"/>
      <c r="Z217" s="666"/>
      <c r="AA217" s="666"/>
      <c r="AB217" s="666"/>
      <c r="AC217" s="666"/>
      <c r="AD217" s="666"/>
      <c r="AE217" s="666"/>
      <c r="AF217" s="666"/>
      <c r="AG217" s="666"/>
      <c r="AH217" s="666"/>
      <c r="AI217" s="666"/>
      <c r="AJ217" s="666"/>
      <c r="AK217" s="666"/>
      <c r="AL217" s="666"/>
      <c r="AM217" s="666"/>
      <c r="AN217" s="666"/>
      <c r="AO217" s="666"/>
      <c r="AP217" s="666"/>
      <c r="AQ217" s="666"/>
      <c r="AR217" s="666"/>
      <c r="AS217" s="666"/>
      <c r="AT217" s="666"/>
      <c r="AU217" s="666"/>
      <c r="AV217" s="666"/>
      <c r="AW217" s="666"/>
      <c r="AX217" s="666"/>
      <c r="AY217" s="666"/>
      <c r="AZ217" s="666"/>
    </row>
    <row r="218" spans="1:52" ht="12.75" x14ac:dyDescent="0.2">
      <c r="A218" s="796">
        <f>Darsteller!B25</f>
        <v>0</v>
      </c>
      <c r="B218" s="902">
        <f>Darsteller!F25</f>
        <v>0</v>
      </c>
      <c r="C218" s="666"/>
      <c r="D218" s="903"/>
      <c r="E218" s="903"/>
      <c r="F218" s="903"/>
      <c r="G218" s="690"/>
      <c r="H218" s="903"/>
      <c r="I218" s="903"/>
      <c r="J218" s="690"/>
      <c r="K218" s="903"/>
      <c r="L218" s="903"/>
      <c r="M218" s="903"/>
      <c r="N218" s="903"/>
      <c r="O218" s="903"/>
      <c r="P218" s="903"/>
      <c r="Q218" s="903"/>
      <c r="R218" s="903"/>
      <c r="S218" s="903"/>
      <c r="T218" s="690"/>
      <c r="U218" s="666"/>
      <c r="V218" s="666"/>
      <c r="W218" s="666"/>
      <c r="X218" s="666"/>
      <c r="Y218" s="666"/>
      <c r="Z218" s="666"/>
      <c r="AA218" s="666"/>
      <c r="AB218" s="666"/>
      <c r="AC218" s="666"/>
      <c r="AD218" s="666"/>
      <c r="AE218" s="666"/>
      <c r="AF218" s="666"/>
      <c r="AG218" s="666"/>
      <c r="AH218" s="666"/>
      <c r="AI218" s="666"/>
      <c r="AJ218" s="666"/>
      <c r="AK218" s="666"/>
      <c r="AL218" s="666"/>
      <c r="AM218" s="666"/>
      <c r="AN218" s="666"/>
      <c r="AO218" s="666"/>
      <c r="AP218" s="666"/>
      <c r="AQ218" s="666"/>
      <c r="AR218" s="666"/>
      <c r="AS218" s="666"/>
      <c r="AT218" s="666"/>
      <c r="AU218" s="666"/>
      <c r="AV218" s="666"/>
      <c r="AW218" s="666"/>
      <c r="AX218" s="666"/>
      <c r="AY218" s="666"/>
      <c r="AZ218" s="666"/>
    </row>
    <row r="219" spans="1:52" ht="12.75" x14ac:dyDescent="0.2">
      <c r="A219" s="796">
        <f>Darsteller!B26</f>
        <v>0</v>
      </c>
      <c r="B219" s="902">
        <f>Darsteller!F26</f>
        <v>0</v>
      </c>
      <c r="C219" s="666"/>
      <c r="D219" s="903"/>
      <c r="E219" s="903"/>
      <c r="F219" s="903"/>
      <c r="G219" s="690"/>
      <c r="H219" s="903"/>
      <c r="I219" s="903"/>
      <c r="J219" s="690"/>
      <c r="K219" s="903"/>
      <c r="L219" s="903"/>
      <c r="M219" s="903"/>
      <c r="N219" s="903"/>
      <c r="O219" s="903"/>
      <c r="P219" s="903"/>
      <c r="Q219" s="903"/>
      <c r="R219" s="903"/>
      <c r="S219" s="903"/>
      <c r="T219" s="690"/>
      <c r="U219" s="666"/>
      <c r="V219" s="666"/>
      <c r="W219" s="666"/>
      <c r="X219" s="666"/>
      <c r="Y219" s="666"/>
      <c r="Z219" s="666"/>
      <c r="AA219" s="666"/>
      <c r="AB219" s="666"/>
      <c r="AC219" s="666"/>
      <c r="AD219" s="666"/>
      <c r="AE219" s="666"/>
      <c r="AF219" s="666"/>
      <c r="AG219" s="666"/>
      <c r="AH219" s="666"/>
      <c r="AI219" s="666"/>
      <c r="AJ219" s="666"/>
      <c r="AK219" s="666"/>
      <c r="AL219" s="666"/>
      <c r="AM219" s="666"/>
      <c r="AN219" s="666"/>
      <c r="AO219" s="666"/>
      <c r="AP219" s="666"/>
      <c r="AQ219" s="666"/>
      <c r="AR219" s="666"/>
      <c r="AS219" s="666"/>
      <c r="AT219" s="666"/>
      <c r="AU219" s="666"/>
      <c r="AV219" s="666"/>
      <c r="AW219" s="666"/>
      <c r="AX219" s="666"/>
      <c r="AY219" s="666"/>
      <c r="AZ219" s="666"/>
    </row>
    <row r="220" spans="1:52" ht="12.75" x14ac:dyDescent="0.2">
      <c r="A220" s="796">
        <f>Darsteller!B27</f>
        <v>0</v>
      </c>
      <c r="B220" s="902">
        <f>Darsteller!F27</f>
        <v>0</v>
      </c>
      <c r="C220" s="666"/>
      <c r="D220" s="903"/>
      <c r="E220" s="903"/>
      <c r="F220" s="903"/>
      <c r="G220" s="690"/>
      <c r="H220" s="903"/>
      <c r="I220" s="903"/>
      <c r="J220" s="690"/>
      <c r="K220" s="903"/>
      <c r="L220" s="903"/>
      <c r="M220" s="903"/>
      <c r="N220" s="903"/>
      <c r="O220" s="903"/>
      <c r="P220" s="903"/>
      <c r="Q220" s="903"/>
      <c r="R220" s="903"/>
      <c r="S220" s="903"/>
      <c r="T220" s="690"/>
      <c r="U220" s="666"/>
      <c r="V220" s="666"/>
      <c r="W220" s="666"/>
      <c r="X220" s="666"/>
      <c r="Y220" s="666"/>
      <c r="Z220" s="666"/>
      <c r="AA220" s="666"/>
      <c r="AB220" s="666"/>
      <c r="AC220" s="666"/>
      <c r="AD220" s="666"/>
      <c r="AE220" s="666"/>
      <c r="AF220" s="666"/>
      <c r="AG220" s="666"/>
      <c r="AH220" s="666"/>
      <c r="AI220" s="666"/>
      <c r="AJ220" s="666"/>
      <c r="AK220" s="666"/>
      <c r="AL220" s="666"/>
      <c r="AM220" s="666"/>
      <c r="AN220" s="666"/>
      <c r="AO220" s="666"/>
      <c r="AP220" s="666"/>
      <c r="AQ220" s="666"/>
      <c r="AR220" s="666"/>
      <c r="AS220" s="666"/>
      <c r="AT220" s="666"/>
      <c r="AU220" s="666"/>
      <c r="AV220" s="666"/>
      <c r="AW220" s="666"/>
      <c r="AX220" s="666"/>
      <c r="AY220" s="666"/>
      <c r="AZ220" s="666"/>
    </row>
    <row r="221" spans="1:52" ht="12.75" x14ac:dyDescent="0.2">
      <c r="A221" s="796">
        <f>Darsteller!B28</f>
        <v>0</v>
      </c>
      <c r="B221" s="902">
        <f>Darsteller!F28</f>
        <v>0</v>
      </c>
      <c r="C221" s="666"/>
      <c r="D221" s="903"/>
      <c r="E221" s="903"/>
      <c r="F221" s="903"/>
      <c r="G221" s="690"/>
      <c r="H221" s="903"/>
      <c r="I221" s="903"/>
      <c r="J221" s="690"/>
      <c r="K221" s="903"/>
      <c r="L221" s="903"/>
      <c r="M221" s="903"/>
      <c r="N221" s="903"/>
      <c r="O221" s="903"/>
      <c r="P221" s="903"/>
      <c r="Q221" s="903"/>
      <c r="R221" s="903"/>
      <c r="S221" s="903"/>
      <c r="T221" s="690"/>
      <c r="U221" s="666"/>
      <c r="V221" s="666"/>
      <c r="W221" s="666"/>
      <c r="X221" s="666"/>
      <c r="Y221" s="666"/>
      <c r="Z221" s="666"/>
      <c r="AA221" s="666"/>
      <c r="AB221" s="666"/>
      <c r="AC221" s="666"/>
      <c r="AD221" s="666"/>
      <c r="AE221" s="666"/>
      <c r="AF221" s="666"/>
      <c r="AG221" s="666"/>
      <c r="AH221" s="666"/>
      <c r="AI221" s="666"/>
      <c r="AJ221" s="666"/>
      <c r="AK221" s="666"/>
      <c r="AL221" s="666"/>
      <c r="AM221" s="666"/>
      <c r="AN221" s="666"/>
      <c r="AO221" s="666"/>
      <c r="AP221" s="666"/>
      <c r="AQ221" s="666"/>
      <c r="AR221" s="666"/>
      <c r="AS221" s="666"/>
      <c r="AT221" s="666"/>
      <c r="AU221" s="666"/>
      <c r="AV221" s="666"/>
      <c r="AW221" s="666"/>
      <c r="AX221" s="666"/>
      <c r="AY221" s="666"/>
      <c r="AZ221" s="666"/>
    </row>
    <row r="222" spans="1:52" ht="12.75" x14ac:dyDescent="0.2">
      <c r="A222" s="796">
        <f>Darsteller!B29</f>
        <v>0</v>
      </c>
      <c r="B222" s="902">
        <f>Darsteller!F29</f>
        <v>0</v>
      </c>
      <c r="C222" s="666"/>
      <c r="D222" s="903"/>
      <c r="E222" s="903"/>
      <c r="F222" s="903"/>
      <c r="G222" s="690"/>
      <c r="H222" s="903"/>
      <c r="I222" s="903"/>
      <c r="J222" s="690"/>
      <c r="K222" s="903"/>
      <c r="L222" s="903"/>
      <c r="M222" s="903"/>
      <c r="N222" s="903"/>
      <c r="O222" s="903"/>
      <c r="P222" s="903"/>
      <c r="Q222" s="903"/>
      <c r="R222" s="903"/>
      <c r="S222" s="903"/>
      <c r="T222" s="690"/>
      <c r="U222" s="666"/>
      <c r="V222" s="666"/>
      <c r="W222" s="666"/>
      <c r="X222" s="666"/>
      <c r="Y222" s="666"/>
      <c r="Z222" s="666"/>
      <c r="AA222" s="666"/>
      <c r="AB222" s="666"/>
      <c r="AC222" s="666"/>
      <c r="AD222" s="666"/>
      <c r="AE222" s="666"/>
      <c r="AF222" s="666"/>
      <c r="AG222" s="666"/>
      <c r="AH222" s="666"/>
      <c r="AI222" s="666"/>
      <c r="AJ222" s="666"/>
      <c r="AK222" s="666"/>
      <c r="AL222" s="666"/>
      <c r="AM222" s="666"/>
      <c r="AN222" s="666"/>
      <c r="AO222" s="666"/>
      <c r="AP222" s="666"/>
      <c r="AQ222" s="666"/>
      <c r="AR222" s="666"/>
      <c r="AS222" s="666"/>
      <c r="AT222" s="666"/>
      <c r="AU222" s="666"/>
      <c r="AV222" s="666"/>
      <c r="AW222" s="666"/>
      <c r="AX222" s="666"/>
      <c r="AY222" s="666"/>
      <c r="AZ222" s="666"/>
    </row>
    <row r="223" spans="1:52" ht="12.75" x14ac:dyDescent="0.2">
      <c r="A223" s="796">
        <f>Darsteller!B30</f>
        <v>0</v>
      </c>
      <c r="B223" s="902">
        <f>Darsteller!F30</f>
        <v>0</v>
      </c>
      <c r="C223" s="666"/>
      <c r="D223" s="903"/>
      <c r="E223" s="903"/>
      <c r="F223" s="903"/>
      <c r="G223" s="690"/>
      <c r="H223" s="903"/>
      <c r="I223" s="903"/>
      <c r="J223" s="690"/>
      <c r="K223" s="903"/>
      <c r="L223" s="903"/>
      <c r="M223" s="903"/>
      <c r="N223" s="903"/>
      <c r="O223" s="903"/>
      <c r="P223" s="903"/>
      <c r="Q223" s="903"/>
      <c r="R223" s="903"/>
      <c r="S223" s="903"/>
      <c r="T223" s="690"/>
      <c r="U223" s="666"/>
      <c r="V223" s="666"/>
      <c r="W223" s="666"/>
      <c r="X223" s="666"/>
      <c r="Y223" s="666"/>
      <c r="Z223" s="666"/>
      <c r="AA223" s="666"/>
      <c r="AB223" s="666"/>
      <c r="AC223" s="666"/>
      <c r="AD223" s="666"/>
      <c r="AE223" s="666"/>
      <c r="AF223" s="666"/>
      <c r="AG223" s="666"/>
      <c r="AH223" s="666"/>
      <c r="AI223" s="666"/>
      <c r="AJ223" s="666"/>
      <c r="AK223" s="666"/>
      <c r="AL223" s="666"/>
      <c r="AM223" s="666"/>
      <c r="AN223" s="666"/>
      <c r="AO223" s="666"/>
      <c r="AP223" s="666"/>
      <c r="AQ223" s="666"/>
      <c r="AR223" s="666"/>
      <c r="AS223" s="666"/>
      <c r="AT223" s="666"/>
      <c r="AU223" s="666"/>
      <c r="AV223" s="666"/>
      <c r="AW223" s="666"/>
      <c r="AX223" s="666"/>
      <c r="AY223" s="666"/>
      <c r="AZ223" s="666"/>
    </row>
    <row r="224" spans="1:52" ht="12.75" x14ac:dyDescent="0.2">
      <c r="A224" s="796">
        <f>Darsteller!B31</f>
        <v>0</v>
      </c>
      <c r="B224" s="902">
        <f>Darsteller!F31</f>
        <v>0</v>
      </c>
      <c r="C224" s="666"/>
      <c r="D224" s="903"/>
      <c r="E224" s="903"/>
      <c r="F224" s="903"/>
      <c r="G224" s="690"/>
      <c r="H224" s="903"/>
      <c r="I224" s="903"/>
      <c r="J224" s="690"/>
      <c r="K224" s="903"/>
      <c r="L224" s="903"/>
      <c r="M224" s="903"/>
      <c r="N224" s="903"/>
      <c r="O224" s="903"/>
      <c r="P224" s="903"/>
      <c r="Q224" s="903"/>
      <c r="R224" s="903"/>
      <c r="S224" s="903"/>
      <c r="T224" s="690"/>
      <c r="U224" s="666"/>
      <c r="V224" s="666"/>
      <c r="W224" s="666"/>
      <c r="X224" s="666"/>
      <c r="Y224" s="666"/>
      <c r="Z224" s="666"/>
      <c r="AA224" s="666"/>
      <c r="AB224" s="666"/>
      <c r="AC224" s="666"/>
      <c r="AD224" s="666"/>
      <c r="AE224" s="666"/>
      <c r="AF224" s="666"/>
      <c r="AG224" s="666"/>
      <c r="AH224" s="666"/>
      <c r="AI224" s="666"/>
      <c r="AJ224" s="666"/>
      <c r="AK224" s="666"/>
      <c r="AL224" s="666"/>
      <c r="AM224" s="666"/>
      <c r="AN224" s="666"/>
      <c r="AO224" s="666"/>
      <c r="AP224" s="666"/>
      <c r="AQ224" s="666"/>
      <c r="AR224" s="666"/>
      <c r="AS224" s="666"/>
      <c r="AT224" s="666"/>
      <c r="AU224" s="666"/>
      <c r="AV224" s="666"/>
      <c r="AW224" s="666"/>
      <c r="AX224" s="666"/>
      <c r="AY224" s="666"/>
      <c r="AZ224" s="666"/>
    </row>
    <row r="225" spans="1:52" ht="12.75" x14ac:dyDescent="0.2">
      <c r="A225" s="796">
        <f>Darsteller!B32</f>
        <v>0</v>
      </c>
      <c r="B225" s="902">
        <f>Darsteller!F32</f>
        <v>0</v>
      </c>
      <c r="C225" s="666"/>
      <c r="D225" s="903"/>
      <c r="E225" s="903"/>
      <c r="F225" s="903"/>
      <c r="G225" s="690"/>
      <c r="H225" s="903"/>
      <c r="I225" s="903"/>
      <c r="J225" s="690"/>
      <c r="K225" s="903"/>
      <c r="L225" s="903"/>
      <c r="M225" s="903"/>
      <c r="N225" s="903"/>
      <c r="O225" s="903"/>
      <c r="P225" s="903"/>
      <c r="Q225" s="903"/>
      <c r="R225" s="903"/>
      <c r="S225" s="903"/>
      <c r="T225" s="690"/>
      <c r="U225" s="666"/>
      <c r="V225" s="666"/>
      <c r="W225" s="666"/>
      <c r="X225" s="666"/>
      <c r="Y225" s="666"/>
      <c r="Z225" s="666"/>
      <c r="AA225" s="666"/>
      <c r="AB225" s="666"/>
      <c r="AC225" s="666"/>
      <c r="AD225" s="666"/>
      <c r="AE225" s="666"/>
      <c r="AF225" s="666"/>
      <c r="AG225" s="666"/>
      <c r="AH225" s="666"/>
      <c r="AI225" s="666"/>
      <c r="AJ225" s="666"/>
      <c r="AK225" s="666"/>
      <c r="AL225" s="666"/>
      <c r="AM225" s="666"/>
      <c r="AN225" s="666"/>
      <c r="AO225" s="666"/>
      <c r="AP225" s="666"/>
      <c r="AQ225" s="666"/>
      <c r="AR225" s="666"/>
      <c r="AS225" s="666"/>
      <c r="AT225" s="666"/>
      <c r="AU225" s="666"/>
      <c r="AV225" s="666"/>
      <c r="AW225" s="666"/>
      <c r="AX225" s="666"/>
      <c r="AY225" s="666"/>
      <c r="AZ225" s="666"/>
    </row>
    <row r="226" spans="1:52" ht="12.75" x14ac:dyDescent="0.2">
      <c r="A226" s="796">
        <f>Darsteller!B33</f>
        <v>0</v>
      </c>
      <c r="B226" s="902">
        <f>Darsteller!F33</f>
        <v>0</v>
      </c>
      <c r="C226" s="666"/>
      <c r="D226" s="903"/>
      <c r="E226" s="903"/>
      <c r="F226" s="903"/>
      <c r="G226" s="690"/>
      <c r="H226" s="903"/>
      <c r="I226" s="903"/>
      <c r="J226" s="690"/>
      <c r="K226" s="903"/>
      <c r="L226" s="903"/>
      <c r="M226" s="903"/>
      <c r="N226" s="903"/>
      <c r="O226" s="903"/>
      <c r="P226" s="903"/>
      <c r="Q226" s="903"/>
      <c r="R226" s="903"/>
      <c r="S226" s="903"/>
      <c r="T226" s="690"/>
      <c r="U226" s="666"/>
      <c r="V226" s="666"/>
      <c r="W226" s="666"/>
      <c r="X226" s="666"/>
      <c r="Y226" s="666"/>
      <c r="Z226" s="666"/>
      <c r="AA226" s="666"/>
      <c r="AB226" s="666"/>
      <c r="AC226" s="666"/>
      <c r="AD226" s="666"/>
      <c r="AE226" s="666"/>
      <c r="AF226" s="666"/>
      <c r="AG226" s="666"/>
      <c r="AH226" s="666"/>
      <c r="AI226" s="666"/>
      <c r="AJ226" s="666"/>
      <c r="AK226" s="666"/>
      <c r="AL226" s="666"/>
      <c r="AM226" s="666"/>
      <c r="AN226" s="666"/>
      <c r="AO226" s="666"/>
      <c r="AP226" s="666"/>
      <c r="AQ226" s="666"/>
      <c r="AR226" s="666"/>
      <c r="AS226" s="666"/>
      <c r="AT226" s="666"/>
      <c r="AU226" s="666"/>
      <c r="AV226" s="666"/>
      <c r="AW226" s="666"/>
      <c r="AX226" s="666"/>
      <c r="AY226" s="666"/>
      <c r="AZ226" s="666"/>
    </row>
    <row r="227" spans="1:52" ht="12.75" x14ac:dyDescent="0.2">
      <c r="A227" s="796">
        <f>Darsteller!B34</f>
        <v>0</v>
      </c>
      <c r="B227" s="902">
        <f>Darsteller!F34</f>
        <v>0</v>
      </c>
      <c r="C227" s="666"/>
      <c r="D227" s="903"/>
      <c r="E227" s="903"/>
      <c r="F227" s="903"/>
      <c r="G227" s="690"/>
      <c r="H227" s="903"/>
      <c r="I227" s="903"/>
      <c r="J227" s="690"/>
      <c r="K227" s="903"/>
      <c r="L227" s="903"/>
      <c r="M227" s="903"/>
      <c r="N227" s="903"/>
      <c r="O227" s="903"/>
      <c r="P227" s="903"/>
      <c r="Q227" s="903"/>
      <c r="R227" s="903"/>
      <c r="S227" s="903"/>
      <c r="T227" s="690"/>
      <c r="U227" s="666"/>
      <c r="V227" s="666"/>
      <c r="W227" s="666"/>
      <c r="X227" s="666"/>
      <c r="Y227" s="666"/>
      <c r="Z227" s="666"/>
      <c r="AA227" s="666"/>
      <c r="AB227" s="666"/>
      <c r="AC227" s="666"/>
      <c r="AD227" s="666"/>
      <c r="AE227" s="666"/>
      <c r="AF227" s="666"/>
      <c r="AG227" s="666"/>
      <c r="AH227" s="666"/>
      <c r="AI227" s="666"/>
      <c r="AJ227" s="666"/>
      <c r="AK227" s="666"/>
      <c r="AL227" s="666"/>
      <c r="AM227" s="666"/>
      <c r="AN227" s="666"/>
      <c r="AO227" s="666"/>
      <c r="AP227" s="666"/>
      <c r="AQ227" s="666"/>
      <c r="AR227" s="666"/>
      <c r="AS227" s="666"/>
      <c r="AT227" s="666"/>
      <c r="AU227" s="666"/>
      <c r="AV227" s="666"/>
      <c r="AW227" s="666"/>
      <c r="AX227" s="666"/>
      <c r="AY227" s="666"/>
      <c r="AZ227" s="666"/>
    </row>
    <row r="228" spans="1:52" ht="12.75" x14ac:dyDescent="0.2">
      <c r="A228" s="796">
        <f>Darsteller!B35</f>
        <v>0</v>
      </c>
      <c r="B228" s="902">
        <f>Darsteller!F35</f>
        <v>0</v>
      </c>
      <c r="C228" s="666"/>
      <c r="D228" s="903"/>
      <c r="E228" s="903"/>
      <c r="F228" s="903"/>
      <c r="G228" s="690">
        <f t="shared" si="27"/>
        <v>0</v>
      </c>
      <c r="H228" s="903"/>
      <c r="I228" s="903"/>
      <c r="J228" s="690">
        <f t="shared" si="28"/>
        <v>0</v>
      </c>
      <c r="K228" s="903"/>
      <c r="L228" s="903"/>
      <c r="M228" s="903"/>
      <c r="N228" s="903"/>
      <c r="O228" s="903"/>
      <c r="P228" s="903"/>
      <c r="Q228" s="903"/>
      <c r="R228" s="903"/>
      <c r="S228" s="903"/>
      <c r="T228" s="690">
        <f t="shared" si="29"/>
        <v>0</v>
      </c>
      <c r="U228" s="666"/>
      <c r="V228" s="666"/>
      <c r="W228" s="666"/>
      <c r="X228" s="666"/>
      <c r="Y228" s="666"/>
      <c r="Z228" s="666"/>
      <c r="AA228" s="666"/>
      <c r="AB228" s="666"/>
      <c r="AC228" s="666"/>
      <c r="AD228" s="666"/>
      <c r="AE228" s="666"/>
      <c r="AF228" s="666"/>
      <c r="AG228" s="666"/>
      <c r="AH228" s="666"/>
      <c r="AI228" s="666"/>
      <c r="AJ228" s="666"/>
      <c r="AK228" s="666"/>
      <c r="AL228" s="666"/>
      <c r="AM228" s="666"/>
      <c r="AN228" s="666"/>
      <c r="AO228" s="666"/>
      <c r="AP228" s="666"/>
      <c r="AQ228" s="666"/>
      <c r="AR228" s="666"/>
      <c r="AS228" s="666"/>
      <c r="AT228" s="666"/>
      <c r="AU228" s="666"/>
      <c r="AV228" s="666"/>
      <c r="AW228" s="666"/>
      <c r="AX228" s="666"/>
      <c r="AY228" s="666"/>
      <c r="AZ228" s="666"/>
    </row>
    <row r="229" spans="1:52" ht="12.75" x14ac:dyDescent="0.2">
      <c r="A229" s="796">
        <f>Darsteller!B36</f>
        <v>0</v>
      </c>
      <c r="B229" s="902">
        <f>Darsteller!F36</f>
        <v>0</v>
      </c>
      <c r="C229" s="666"/>
      <c r="D229" s="903"/>
      <c r="E229" s="903"/>
      <c r="F229" s="903"/>
      <c r="G229" s="690">
        <f t="shared" si="27"/>
        <v>0</v>
      </c>
      <c r="H229" s="903"/>
      <c r="I229" s="903"/>
      <c r="J229" s="690">
        <f t="shared" si="28"/>
        <v>0</v>
      </c>
      <c r="K229" s="903"/>
      <c r="L229" s="903"/>
      <c r="M229" s="903"/>
      <c r="N229" s="903"/>
      <c r="O229" s="903"/>
      <c r="P229" s="903"/>
      <c r="Q229" s="903"/>
      <c r="R229" s="903"/>
      <c r="S229" s="903"/>
      <c r="T229" s="690">
        <f t="shared" si="29"/>
        <v>0</v>
      </c>
      <c r="U229" s="666"/>
      <c r="V229" s="666"/>
      <c r="W229" s="666"/>
      <c r="X229" s="666"/>
      <c r="Y229" s="666"/>
      <c r="Z229" s="666"/>
      <c r="AA229" s="666"/>
      <c r="AB229" s="666"/>
      <c r="AC229" s="666"/>
      <c r="AD229" s="666"/>
      <c r="AE229" s="666"/>
      <c r="AF229" s="666"/>
      <c r="AG229" s="666"/>
      <c r="AH229" s="666"/>
      <c r="AI229" s="666"/>
      <c r="AJ229" s="666"/>
      <c r="AK229" s="666"/>
      <c r="AL229" s="666"/>
      <c r="AM229" s="666"/>
      <c r="AN229" s="666"/>
      <c r="AO229" s="666"/>
      <c r="AP229" s="666"/>
      <c r="AQ229" s="666"/>
      <c r="AR229" s="666"/>
      <c r="AS229" s="666"/>
      <c r="AT229" s="666"/>
      <c r="AU229" s="666"/>
      <c r="AV229" s="666"/>
      <c r="AW229" s="666"/>
      <c r="AX229" s="666"/>
      <c r="AY229" s="666"/>
      <c r="AZ229" s="666"/>
    </row>
    <row r="230" spans="1:52" ht="12.75" x14ac:dyDescent="0.2">
      <c r="A230" s="796">
        <f>Darsteller!B37</f>
        <v>0</v>
      </c>
      <c r="B230" s="902">
        <f>Darsteller!F37</f>
        <v>0</v>
      </c>
      <c r="C230" s="666"/>
      <c r="D230" s="903"/>
      <c r="E230" s="903"/>
      <c r="F230" s="903"/>
      <c r="G230" s="690">
        <f t="shared" si="27"/>
        <v>0</v>
      </c>
      <c r="H230" s="903"/>
      <c r="I230" s="903"/>
      <c r="J230" s="690">
        <f t="shared" si="28"/>
        <v>0</v>
      </c>
      <c r="K230" s="903"/>
      <c r="L230" s="903"/>
      <c r="M230" s="903"/>
      <c r="N230" s="903"/>
      <c r="O230" s="903"/>
      <c r="P230" s="903"/>
      <c r="Q230" s="903"/>
      <c r="R230" s="903"/>
      <c r="S230" s="903"/>
      <c r="T230" s="690">
        <f t="shared" si="29"/>
        <v>0</v>
      </c>
      <c r="U230" s="666"/>
      <c r="V230" s="666"/>
      <c r="W230" s="666"/>
      <c r="X230" s="666"/>
      <c r="Y230" s="666"/>
      <c r="Z230" s="666"/>
      <c r="AA230" s="666"/>
      <c r="AB230" s="666"/>
      <c r="AC230" s="666"/>
      <c r="AD230" s="666"/>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row>
    <row r="231" spans="1:52" ht="12.75" x14ac:dyDescent="0.2">
      <c r="A231" s="796">
        <f>Darsteller!B38</f>
        <v>0</v>
      </c>
      <c r="B231" s="902">
        <f>Darsteller!F38</f>
        <v>0</v>
      </c>
      <c r="C231" s="666"/>
      <c r="D231" s="903"/>
      <c r="E231" s="903"/>
      <c r="F231" s="903"/>
      <c r="G231" s="690">
        <f t="shared" si="27"/>
        <v>0</v>
      </c>
      <c r="H231" s="903"/>
      <c r="I231" s="903"/>
      <c r="J231" s="690">
        <f t="shared" si="28"/>
        <v>0</v>
      </c>
      <c r="K231" s="903"/>
      <c r="L231" s="903"/>
      <c r="M231" s="903"/>
      <c r="N231" s="903"/>
      <c r="O231" s="903"/>
      <c r="P231" s="903"/>
      <c r="Q231" s="903"/>
      <c r="R231" s="903"/>
      <c r="S231" s="903"/>
      <c r="T231" s="690">
        <f t="shared" si="29"/>
        <v>0</v>
      </c>
      <c r="U231" s="666"/>
      <c r="V231" s="666"/>
      <c r="W231" s="666"/>
      <c r="X231" s="666"/>
      <c r="Y231" s="666"/>
      <c r="Z231" s="666"/>
      <c r="AA231" s="666"/>
      <c r="AB231" s="666"/>
      <c r="AC231" s="666"/>
      <c r="AD231" s="666"/>
      <c r="AE231" s="666"/>
      <c r="AF231" s="666"/>
      <c r="AG231" s="666"/>
      <c r="AH231" s="666"/>
      <c r="AI231" s="666"/>
      <c r="AJ231" s="666"/>
      <c r="AK231" s="666"/>
      <c r="AL231" s="666"/>
      <c r="AM231" s="666"/>
      <c r="AN231" s="666"/>
      <c r="AO231" s="666"/>
      <c r="AP231" s="666"/>
      <c r="AQ231" s="666"/>
      <c r="AR231" s="666"/>
      <c r="AS231" s="666"/>
      <c r="AT231" s="666"/>
      <c r="AU231" s="666"/>
      <c r="AV231" s="666"/>
      <c r="AW231" s="666"/>
      <c r="AX231" s="666"/>
      <c r="AY231" s="666"/>
      <c r="AZ231" s="666"/>
    </row>
    <row r="232" spans="1:52" ht="12.75" x14ac:dyDescent="0.2">
      <c r="A232" s="796">
        <f>Darsteller!B39</f>
        <v>0</v>
      </c>
      <c r="B232" s="902">
        <f>Darsteller!F39</f>
        <v>0</v>
      </c>
      <c r="C232" s="666"/>
      <c r="D232" s="903"/>
      <c r="E232" s="903"/>
      <c r="F232" s="903"/>
      <c r="G232" s="690">
        <f t="shared" si="27"/>
        <v>0</v>
      </c>
      <c r="H232" s="903"/>
      <c r="I232" s="903"/>
      <c r="J232" s="690">
        <f t="shared" si="28"/>
        <v>0</v>
      </c>
      <c r="K232" s="903"/>
      <c r="L232" s="903"/>
      <c r="M232" s="903"/>
      <c r="N232" s="903"/>
      <c r="O232" s="903"/>
      <c r="P232" s="903"/>
      <c r="Q232" s="903"/>
      <c r="R232" s="903"/>
      <c r="S232" s="903"/>
      <c r="T232" s="690">
        <f t="shared" si="29"/>
        <v>0</v>
      </c>
      <c r="U232" s="666"/>
      <c r="V232" s="666"/>
      <c r="W232" s="666"/>
      <c r="X232" s="666"/>
      <c r="Y232" s="666"/>
      <c r="Z232" s="666"/>
      <c r="AA232" s="666"/>
      <c r="AB232" s="666"/>
      <c r="AC232" s="666"/>
      <c r="AD232" s="666"/>
      <c r="AE232" s="666"/>
      <c r="AF232" s="666"/>
      <c r="AG232" s="666"/>
      <c r="AH232" s="666"/>
      <c r="AI232" s="666"/>
      <c r="AJ232" s="666"/>
      <c r="AK232" s="666"/>
      <c r="AL232" s="666"/>
      <c r="AM232" s="666"/>
      <c r="AN232" s="666"/>
      <c r="AO232" s="666"/>
      <c r="AP232" s="666"/>
      <c r="AQ232" s="666"/>
      <c r="AR232" s="666"/>
      <c r="AS232" s="666"/>
      <c r="AT232" s="666"/>
      <c r="AU232" s="666"/>
      <c r="AV232" s="666"/>
      <c r="AW232" s="666"/>
      <c r="AX232" s="666"/>
      <c r="AY232" s="666"/>
      <c r="AZ232" s="666"/>
    </row>
    <row r="233" spans="1:52" ht="12.75" x14ac:dyDescent="0.2">
      <c r="A233" s="796">
        <f>Darsteller!B40</f>
        <v>0</v>
      </c>
      <c r="B233" s="902">
        <f>Darsteller!F40</f>
        <v>0</v>
      </c>
      <c r="C233" s="666"/>
      <c r="D233" s="903"/>
      <c r="E233" s="903"/>
      <c r="F233" s="903"/>
      <c r="G233" s="690">
        <f t="shared" si="27"/>
        <v>0</v>
      </c>
      <c r="H233" s="903"/>
      <c r="I233" s="903"/>
      <c r="J233" s="690">
        <f t="shared" si="28"/>
        <v>0</v>
      </c>
      <c r="K233" s="903"/>
      <c r="L233" s="903"/>
      <c r="M233" s="903"/>
      <c r="N233" s="903"/>
      <c r="O233" s="903"/>
      <c r="P233" s="903"/>
      <c r="Q233" s="903"/>
      <c r="R233" s="903"/>
      <c r="S233" s="903"/>
      <c r="T233" s="690">
        <f t="shared" si="29"/>
        <v>0</v>
      </c>
      <c r="U233" s="666"/>
      <c r="V233" s="666"/>
      <c r="W233" s="666"/>
      <c r="X233" s="666"/>
      <c r="Y233" s="666"/>
      <c r="Z233" s="666"/>
      <c r="AA233" s="666"/>
      <c r="AB233" s="666"/>
      <c r="AC233" s="666"/>
      <c r="AD233" s="666"/>
      <c r="AE233" s="666"/>
      <c r="AF233" s="666"/>
      <c r="AG233" s="666"/>
      <c r="AH233" s="666"/>
      <c r="AI233" s="666"/>
      <c r="AJ233" s="666"/>
      <c r="AK233" s="666"/>
      <c r="AL233" s="666"/>
      <c r="AM233" s="666"/>
      <c r="AN233" s="666"/>
      <c r="AO233" s="666"/>
      <c r="AP233" s="666"/>
      <c r="AQ233" s="666"/>
      <c r="AR233" s="666"/>
      <c r="AS233" s="666"/>
      <c r="AT233" s="666"/>
      <c r="AU233" s="666"/>
      <c r="AV233" s="666"/>
      <c r="AW233" s="666"/>
      <c r="AX233" s="666"/>
      <c r="AY233" s="666"/>
      <c r="AZ233" s="666"/>
    </row>
    <row r="234" spans="1:52" ht="12.75" x14ac:dyDescent="0.2">
      <c r="A234" s="796">
        <f>Darsteller!B41</f>
        <v>0</v>
      </c>
      <c r="B234" s="902">
        <f>Darsteller!F41</f>
        <v>0</v>
      </c>
      <c r="C234" s="666"/>
      <c r="D234" s="903"/>
      <c r="E234" s="903"/>
      <c r="F234" s="903"/>
      <c r="G234" s="690">
        <f t="shared" si="27"/>
        <v>0</v>
      </c>
      <c r="H234" s="903"/>
      <c r="I234" s="903"/>
      <c r="J234" s="690">
        <f t="shared" si="28"/>
        <v>0</v>
      </c>
      <c r="K234" s="903"/>
      <c r="L234" s="903"/>
      <c r="M234" s="903"/>
      <c r="N234" s="903"/>
      <c r="O234" s="903"/>
      <c r="P234" s="903"/>
      <c r="Q234" s="903"/>
      <c r="R234" s="903"/>
      <c r="S234" s="903"/>
      <c r="T234" s="690">
        <f t="shared" si="29"/>
        <v>0</v>
      </c>
      <c r="U234" s="666"/>
      <c r="V234" s="666"/>
      <c r="W234" s="666"/>
      <c r="X234" s="666"/>
      <c r="Y234" s="666"/>
      <c r="Z234" s="666"/>
      <c r="AA234" s="666"/>
      <c r="AB234" s="666"/>
      <c r="AC234" s="666"/>
      <c r="AD234" s="666"/>
      <c r="AE234" s="666"/>
      <c r="AF234" s="666"/>
      <c r="AG234" s="666"/>
      <c r="AH234" s="666"/>
      <c r="AI234" s="666"/>
      <c r="AJ234" s="666"/>
      <c r="AK234" s="666"/>
      <c r="AL234" s="666"/>
      <c r="AM234" s="666"/>
      <c r="AN234" s="666"/>
      <c r="AO234" s="666"/>
      <c r="AP234" s="666"/>
      <c r="AQ234" s="666"/>
      <c r="AR234" s="666"/>
      <c r="AS234" s="666"/>
      <c r="AT234" s="666"/>
      <c r="AU234" s="666"/>
      <c r="AV234" s="666"/>
      <c r="AW234" s="666"/>
      <c r="AX234" s="666"/>
      <c r="AY234" s="666"/>
      <c r="AZ234" s="666"/>
    </row>
    <row r="235" spans="1:52" ht="12.75" x14ac:dyDescent="0.2">
      <c r="A235" s="796">
        <f>Darsteller!B42</f>
        <v>0</v>
      </c>
      <c r="B235" s="902">
        <f>Darsteller!F42</f>
        <v>0</v>
      </c>
      <c r="C235" s="666"/>
      <c r="D235" s="903"/>
      <c r="E235" s="903"/>
      <c r="F235" s="903"/>
      <c r="G235" s="690">
        <f t="shared" si="27"/>
        <v>0</v>
      </c>
      <c r="H235" s="903"/>
      <c r="I235" s="903"/>
      <c r="J235" s="690">
        <f t="shared" si="28"/>
        <v>0</v>
      </c>
      <c r="K235" s="903"/>
      <c r="L235" s="903"/>
      <c r="M235" s="903"/>
      <c r="N235" s="903"/>
      <c r="O235" s="903"/>
      <c r="P235" s="903"/>
      <c r="Q235" s="903"/>
      <c r="R235" s="903"/>
      <c r="S235" s="903"/>
      <c r="T235" s="690">
        <f t="shared" si="29"/>
        <v>0</v>
      </c>
      <c r="U235" s="666"/>
      <c r="V235" s="666"/>
      <c r="W235" s="666"/>
      <c r="X235" s="666"/>
      <c r="Y235" s="666"/>
      <c r="Z235" s="666"/>
      <c r="AA235" s="666"/>
      <c r="AB235" s="666"/>
      <c r="AC235" s="666"/>
      <c r="AD235" s="666"/>
      <c r="AE235" s="666"/>
      <c r="AF235" s="666"/>
      <c r="AG235" s="666"/>
      <c r="AH235" s="666"/>
      <c r="AI235" s="666"/>
      <c r="AJ235" s="666"/>
      <c r="AK235" s="666"/>
      <c r="AL235" s="666"/>
      <c r="AM235" s="666"/>
      <c r="AN235" s="666"/>
      <c r="AO235" s="666"/>
      <c r="AP235" s="666"/>
      <c r="AQ235" s="666"/>
      <c r="AR235" s="666"/>
      <c r="AS235" s="666"/>
      <c r="AT235" s="666"/>
      <c r="AU235" s="666"/>
      <c r="AV235" s="666"/>
      <c r="AW235" s="666"/>
      <c r="AX235" s="666"/>
      <c r="AY235" s="666"/>
      <c r="AZ235" s="666"/>
    </row>
    <row r="236" spans="1:52" ht="12.75" x14ac:dyDescent="0.2">
      <c r="A236" s="796">
        <f>Darsteller!B43</f>
        <v>0</v>
      </c>
      <c r="B236" s="902">
        <f>Darsteller!F43</f>
        <v>0</v>
      </c>
      <c r="C236" s="666"/>
      <c r="D236" s="903"/>
      <c r="E236" s="903"/>
      <c r="F236" s="903"/>
      <c r="G236" s="690">
        <f t="shared" si="27"/>
        <v>0</v>
      </c>
      <c r="H236" s="903"/>
      <c r="I236" s="903"/>
      <c r="J236" s="690">
        <f t="shared" si="28"/>
        <v>0</v>
      </c>
      <c r="K236" s="903"/>
      <c r="L236" s="903"/>
      <c r="M236" s="903"/>
      <c r="N236" s="903"/>
      <c r="O236" s="903"/>
      <c r="P236" s="903"/>
      <c r="Q236" s="903"/>
      <c r="R236" s="903"/>
      <c r="S236" s="903"/>
      <c r="T236" s="690">
        <f t="shared" si="29"/>
        <v>0</v>
      </c>
      <c r="U236" s="666"/>
      <c r="V236" s="666"/>
      <c r="W236" s="666"/>
      <c r="X236" s="666"/>
      <c r="Y236" s="666"/>
      <c r="Z236" s="666"/>
      <c r="AA236" s="666"/>
      <c r="AB236" s="666"/>
      <c r="AC236" s="666"/>
      <c r="AD236" s="666"/>
      <c r="AE236" s="666"/>
      <c r="AF236" s="666"/>
      <c r="AG236" s="666"/>
      <c r="AH236" s="666"/>
      <c r="AI236" s="666"/>
      <c r="AJ236" s="666"/>
      <c r="AK236" s="666"/>
      <c r="AL236" s="666"/>
      <c r="AM236" s="666"/>
      <c r="AN236" s="666"/>
      <c r="AO236" s="666"/>
      <c r="AP236" s="666"/>
      <c r="AQ236" s="666"/>
      <c r="AR236" s="666"/>
      <c r="AS236" s="666"/>
      <c r="AT236" s="666"/>
      <c r="AU236" s="666"/>
      <c r="AV236" s="666"/>
      <c r="AW236" s="666"/>
      <c r="AX236" s="666"/>
      <c r="AY236" s="666"/>
      <c r="AZ236" s="666"/>
    </row>
    <row r="237" spans="1:52" ht="12.75" x14ac:dyDescent="0.2">
      <c r="A237" s="796">
        <f>Darsteller!B44</f>
        <v>0</v>
      </c>
      <c r="B237" s="902">
        <f>Darsteller!F44</f>
        <v>0</v>
      </c>
      <c r="C237" s="666"/>
      <c r="D237" s="903"/>
      <c r="E237" s="903"/>
      <c r="F237" s="903"/>
      <c r="G237" s="690">
        <f t="shared" si="27"/>
        <v>0</v>
      </c>
      <c r="H237" s="903"/>
      <c r="I237" s="903"/>
      <c r="J237" s="690">
        <f t="shared" si="28"/>
        <v>0</v>
      </c>
      <c r="K237" s="903"/>
      <c r="L237" s="903"/>
      <c r="M237" s="903"/>
      <c r="N237" s="903"/>
      <c r="O237" s="903"/>
      <c r="P237" s="903"/>
      <c r="Q237" s="903"/>
      <c r="R237" s="903"/>
      <c r="S237" s="903"/>
      <c r="T237" s="690">
        <f t="shared" si="29"/>
        <v>0</v>
      </c>
      <c r="U237" s="666"/>
      <c r="V237" s="666"/>
      <c r="W237" s="666"/>
      <c r="X237" s="666"/>
      <c r="Y237" s="666"/>
      <c r="Z237" s="666"/>
      <c r="AA237" s="666"/>
      <c r="AB237" s="666"/>
      <c r="AC237" s="666"/>
      <c r="AD237" s="666"/>
      <c r="AE237" s="666"/>
      <c r="AF237" s="666"/>
      <c r="AG237" s="666"/>
      <c r="AH237" s="666"/>
      <c r="AI237" s="666"/>
      <c r="AJ237" s="666"/>
      <c r="AK237" s="666"/>
      <c r="AL237" s="666"/>
      <c r="AM237" s="666"/>
      <c r="AN237" s="666"/>
      <c r="AO237" s="666"/>
      <c r="AP237" s="666"/>
      <c r="AQ237" s="666"/>
      <c r="AR237" s="666"/>
      <c r="AS237" s="666"/>
      <c r="AT237" s="666"/>
      <c r="AU237" s="666"/>
      <c r="AV237" s="666"/>
      <c r="AW237" s="666"/>
      <c r="AX237" s="666"/>
      <c r="AY237" s="666"/>
      <c r="AZ237" s="666"/>
    </row>
    <row r="238" spans="1:52" ht="12.75" x14ac:dyDescent="0.2">
      <c r="A238" s="796">
        <f>Darsteller!B45</f>
        <v>0</v>
      </c>
      <c r="B238" s="902">
        <f>Darsteller!F45</f>
        <v>0</v>
      </c>
      <c r="C238" s="666"/>
      <c r="D238" s="903"/>
      <c r="E238" s="903"/>
      <c r="F238" s="903"/>
      <c r="G238" s="690">
        <f t="shared" si="27"/>
        <v>0</v>
      </c>
      <c r="H238" s="903"/>
      <c r="I238" s="903"/>
      <c r="J238" s="690">
        <f t="shared" si="28"/>
        <v>0</v>
      </c>
      <c r="K238" s="903"/>
      <c r="L238" s="903"/>
      <c r="M238" s="903"/>
      <c r="N238" s="903"/>
      <c r="O238" s="903"/>
      <c r="P238" s="903"/>
      <c r="Q238" s="903"/>
      <c r="R238" s="903"/>
      <c r="S238" s="903"/>
      <c r="T238" s="690">
        <f t="shared" si="29"/>
        <v>0</v>
      </c>
      <c r="U238" s="666"/>
      <c r="V238" s="666"/>
      <c r="W238" s="666"/>
      <c r="X238" s="666"/>
      <c r="Y238" s="666"/>
      <c r="Z238" s="666"/>
      <c r="AA238" s="666"/>
      <c r="AB238" s="666"/>
      <c r="AC238" s="666"/>
      <c r="AD238" s="666"/>
      <c r="AE238" s="666"/>
      <c r="AF238" s="666"/>
      <c r="AG238" s="666"/>
      <c r="AH238" s="666"/>
      <c r="AI238" s="666"/>
      <c r="AJ238" s="666"/>
      <c r="AK238" s="666"/>
      <c r="AL238" s="666"/>
      <c r="AM238" s="666"/>
      <c r="AN238" s="666"/>
      <c r="AO238" s="666"/>
      <c r="AP238" s="666"/>
      <c r="AQ238" s="666"/>
      <c r="AR238" s="666"/>
      <c r="AS238" s="666"/>
      <c r="AT238" s="666"/>
      <c r="AU238" s="666"/>
      <c r="AV238" s="666"/>
      <c r="AW238" s="666"/>
      <c r="AX238" s="666"/>
      <c r="AY238" s="666"/>
      <c r="AZ238" s="666"/>
    </row>
    <row r="239" spans="1:52" ht="12.75" x14ac:dyDescent="0.2">
      <c r="A239" s="796">
        <f>Darsteller!B46</f>
        <v>0</v>
      </c>
      <c r="B239" s="902">
        <f>Darsteller!F46</f>
        <v>0</v>
      </c>
      <c r="C239" s="666"/>
      <c r="D239" s="903"/>
      <c r="E239" s="903"/>
      <c r="F239" s="903"/>
      <c r="G239" s="690">
        <f t="shared" si="27"/>
        <v>0</v>
      </c>
      <c r="H239" s="903"/>
      <c r="I239" s="903"/>
      <c r="J239" s="690">
        <f t="shared" si="28"/>
        <v>0</v>
      </c>
      <c r="K239" s="903"/>
      <c r="L239" s="903"/>
      <c r="M239" s="903"/>
      <c r="N239" s="903"/>
      <c r="O239" s="903"/>
      <c r="P239" s="903"/>
      <c r="Q239" s="903"/>
      <c r="R239" s="903"/>
      <c r="S239" s="903"/>
      <c r="T239" s="690">
        <f t="shared" si="29"/>
        <v>0</v>
      </c>
      <c r="U239" s="666"/>
      <c r="V239" s="666"/>
      <c r="W239" s="666"/>
      <c r="X239" s="666"/>
      <c r="Y239" s="666"/>
      <c r="Z239" s="666"/>
      <c r="AA239" s="666"/>
      <c r="AB239" s="666"/>
      <c r="AC239" s="666"/>
      <c r="AD239" s="666"/>
      <c r="AE239" s="666"/>
      <c r="AF239" s="666"/>
      <c r="AG239" s="666"/>
      <c r="AH239" s="666"/>
      <c r="AI239" s="666"/>
      <c r="AJ239" s="666"/>
      <c r="AK239" s="666"/>
      <c r="AL239" s="666"/>
      <c r="AM239" s="666"/>
      <c r="AN239" s="666"/>
      <c r="AO239" s="666"/>
      <c r="AP239" s="666"/>
      <c r="AQ239" s="666"/>
      <c r="AR239" s="666"/>
      <c r="AS239" s="666"/>
      <c r="AT239" s="666"/>
      <c r="AU239" s="666"/>
      <c r="AV239" s="666"/>
      <c r="AW239" s="666"/>
      <c r="AX239" s="666"/>
      <c r="AY239" s="666"/>
      <c r="AZ239" s="666"/>
    </row>
    <row r="240" spans="1:52" ht="12.75" x14ac:dyDescent="0.2">
      <c r="A240" s="796">
        <f>Darsteller!B47</f>
        <v>0</v>
      </c>
      <c r="B240" s="902">
        <f>Darsteller!F47</f>
        <v>0</v>
      </c>
      <c r="C240" s="666"/>
      <c r="D240" s="903"/>
      <c r="E240" s="903"/>
      <c r="F240" s="903"/>
      <c r="G240" s="690">
        <f t="shared" si="27"/>
        <v>0</v>
      </c>
      <c r="H240" s="903"/>
      <c r="I240" s="903"/>
      <c r="J240" s="690">
        <f t="shared" si="28"/>
        <v>0</v>
      </c>
      <c r="K240" s="903"/>
      <c r="L240" s="903"/>
      <c r="M240" s="903"/>
      <c r="N240" s="903"/>
      <c r="O240" s="903"/>
      <c r="P240" s="903"/>
      <c r="Q240" s="903"/>
      <c r="R240" s="903"/>
      <c r="S240" s="903"/>
      <c r="T240" s="690">
        <f t="shared" si="29"/>
        <v>0</v>
      </c>
      <c r="U240" s="666"/>
      <c r="V240" s="666"/>
      <c r="W240" s="666"/>
      <c r="X240" s="666"/>
      <c r="Y240" s="666"/>
      <c r="Z240" s="666"/>
      <c r="AA240" s="666"/>
      <c r="AB240" s="666"/>
      <c r="AC240" s="666"/>
      <c r="AD240" s="666"/>
      <c r="AE240" s="666"/>
      <c r="AF240" s="666"/>
      <c r="AG240" s="666"/>
      <c r="AH240" s="666"/>
      <c r="AI240" s="666"/>
      <c r="AJ240" s="666"/>
      <c r="AK240" s="666"/>
      <c r="AL240" s="666"/>
      <c r="AM240" s="666"/>
      <c r="AN240" s="666"/>
      <c r="AO240" s="666"/>
      <c r="AP240" s="666"/>
      <c r="AQ240" s="666"/>
      <c r="AR240" s="666"/>
      <c r="AS240" s="666"/>
      <c r="AT240" s="666"/>
      <c r="AU240" s="666"/>
      <c r="AV240" s="666"/>
      <c r="AW240" s="666"/>
      <c r="AX240" s="666"/>
      <c r="AY240" s="666"/>
      <c r="AZ240" s="666"/>
    </row>
    <row r="241" spans="1:52" ht="12.75" x14ac:dyDescent="0.2">
      <c r="A241" s="796">
        <f>Darsteller!B48</f>
        <v>0</v>
      </c>
      <c r="B241" s="902">
        <f>Darsteller!F48</f>
        <v>0</v>
      </c>
      <c r="C241" s="666"/>
      <c r="D241" s="903"/>
      <c r="E241" s="903"/>
      <c r="F241" s="903"/>
      <c r="G241" s="690">
        <f t="shared" si="27"/>
        <v>0</v>
      </c>
      <c r="H241" s="903"/>
      <c r="I241" s="903"/>
      <c r="J241" s="690">
        <f t="shared" si="28"/>
        <v>0</v>
      </c>
      <c r="K241" s="903"/>
      <c r="L241" s="903"/>
      <c r="M241" s="903"/>
      <c r="N241" s="903"/>
      <c r="O241" s="903"/>
      <c r="P241" s="903"/>
      <c r="Q241" s="903"/>
      <c r="R241" s="903"/>
      <c r="S241" s="903"/>
      <c r="T241" s="690">
        <f t="shared" si="29"/>
        <v>0</v>
      </c>
      <c r="U241" s="666"/>
      <c r="V241" s="666"/>
      <c r="W241" s="666"/>
      <c r="X241" s="666"/>
      <c r="Y241" s="666"/>
      <c r="Z241" s="666"/>
      <c r="AA241" s="666"/>
      <c r="AB241" s="666"/>
      <c r="AC241" s="666"/>
      <c r="AD241" s="666"/>
      <c r="AE241" s="666"/>
      <c r="AF241" s="666"/>
      <c r="AG241" s="666"/>
      <c r="AH241" s="666"/>
      <c r="AI241" s="666"/>
      <c r="AJ241" s="666"/>
      <c r="AK241" s="666"/>
      <c r="AL241" s="666"/>
      <c r="AM241" s="666"/>
      <c r="AN241" s="666"/>
      <c r="AO241" s="666"/>
      <c r="AP241" s="666"/>
      <c r="AQ241" s="666"/>
      <c r="AR241" s="666"/>
      <c r="AS241" s="666"/>
      <c r="AT241" s="666"/>
      <c r="AU241" s="666"/>
      <c r="AV241" s="666"/>
      <c r="AW241" s="666"/>
      <c r="AX241" s="666"/>
      <c r="AY241" s="666"/>
      <c r="AZ241" s="666"/>
    </row>
    <row r="242" spans="1:52" ht="12.75" x14ac:dyDescent="0.2">
      <c r="A242" s="796">
        <f>Darsteller!B49</f>
        <v>0</v>
      </c>
      <c r="B242" s="902">
        <f>Darsteller!F49</f>
        <v>0</v>
      </c>
      <c r="C242" s="666"/>
      <c r="D242" s="903"/>
      <c r="E242" s="903"/>
      <c r="F242" s="903"/>
      <c r="G242" s="690">
        <f t="shared" si="27"/>
        <v>0</v>
      </c>
      <c r="H242" s="903"/>
      <c r="I242" s="903"/>
      <c r="J242" s="690">
        <f t="shared" si="28"/>
        <v>0</v>
      </c>
      <c r="K242" s="903"/>
      <c r="L242" s="903"/>
      <c r="M242" s="903"/>
      <c r="N242" s="903"/>
      <c r="O242" s="903"/>
      <c r="P242" s="903"/>
      <c r="Q242" s="903"/>
      <c r="R242" s="903"/>
      <c r="S242" s="903"/>
      <c r="T242" s="690">
        <f t="shared" si="29"/>
        <v>0</v>
      </c>
      <c r="U242" s="666"/>
      <c r="V242" s="666"/>
      <c r="W242" s="666"/>
      <c r="X242" s="666"/>
      <c r="Y242" s="666"/>
      <c r="Z242" s="666"/>
      <c r="AA242" s="666"/>
      <c r="AB242" s="666"/>
      <c r="AC242" s="666"/>
      <c r="AD242" s="666"/>
      <c r="AE242" s="666"/>
      <c r="AF242" s="666"/>
      <c r="AG242" s="666"/>
      <c r="AH242" s="666"/>
      <c r="AI242" s="666"/>
      <c r="AJ242" s="666"/>
      <c r="AK242" s="666"/>
      <c r="AL242" s="666"/>
      <c r="AM242" s="666"/>
      <c r="AN242" s="666"/>
      <c r="AO242" s="666"/>
      <c r="AP242" s="666"/>
      <c r="AQ242" s="666"/>
      <c r="AR242" s="666"/>
      <c r="AS242" s="666"/>
      <c r="AT242" s="666"/>
      <c r="AU242" s="666"/>
      <c r="AV242" s="666"/>
      <c r="AW242" s="666"/>
      <c r="AX242" s="666"/>
      <c r="AY242" s="666"/>
      <c r="AZ242" s="666"/>
    </row>
    <row r="243" spans="1:52" ht="12.75" x14ac:dyDescent="0.2">
      <c r="A243" s="796">
        <f>Darsteller!B50</f>
        <v>0</v>
      </c>
      <c r="B243" s="902">
        <f>Darsteller!F50</f>
        <v>0</v>
      </c>
      <c r="C243" s="666"/>
      <c r="D243" s="903"/>
      <c r="E243" s="903"/>
      <c r="F243" s="903"/>
      <c r="G243" s="690">
        <f t="shared" si="27"/>
        <v>0</v>
      </c>
      <c r="H243" s="903"/>
      <c r="I243" s="903"/>
      <c r="J243" s="690">
        <f t="shared" si="28"/>
        <v>0</v>
      </c>
      <c r="K243" s="903"/>
      <c r="L243" s="903"/>
      <c r="M243" s="903"/>
      <c r="N243" s="903"/>
      <c r="O243" s="903"/>
      <c r="P243" s="903"/>
      <c r="Q243" s="903"/>
      <c r="R243" s="903"/>
      <c r="S243" s="903"/>
      <c r="T243" s="690">
        <f t="shared" si="29"/>
        <v>0</v>
      </c>
      <c r="U243" s="666"/>
      <c r="V243" s="666"/>
      <c r="W243" s="666"/>
      <c r="X243" s="666"/>
      <c r="Y243" s="666"/>
      <c r="Z243" s="666"/>
      <c r="AA243" s="666"/>
      <c r="AB243" s="666"/>
      <c r="AC243" s="666"/>
      <c r="AD243" s="666"/>
      <c r="AE243" s="666"/>
      <c r="AF243" s="666"/>
      <c r="AG243" s="666"/>
      <c r="AH243" s="666"/>
      <c r="AI243" s="666"/>
      <c r="AJ243" s="666"/>
      <c r="AK243" s="666"/>
      <c r="AL243" s="666"/>
      <c r="AM243" s="666"/>
      <c r="AN243" s="666"/>
      <c r="AO243" s="666"/>
      <c r="AP243" s="666"/>
      <c r="AQ243" s="666"/>
      <c r="AR243" s="666"/>
      <c r="AS243" s="666"/>
      <c r="AT243" s="666"/>
      <c r="AU243" s="666"/>
      <c r="AV243" s="666"/>
      <c r="AW243" s="666"/>
      <c r="AX243" s="666"/>
      <c r="AY243" s="666"/>
      <c r="AZ243" s="666"/>
    </row>
    <row r="244" spans="1:52" ht="12.75" x14ac:dyDescent="0.2">
      <c r="A244" s="796">
        <f>Darsteller!B51</f>
        <v>0</v>
      </c>
      <c r="B244" s="902">
        <f>Darsteller!F51</f>
        <v>0</v>
      </c>
      <c r="C244" s="666"/>
      <c r="D244" s="903"/>
      <c r="E244" s="903"/>
      <c r="F244" s="903"/>
      <c r="G244" s="690">
        <f t="shared" si="27"/>
        <v>0</v>
      </c>
      <c r="H244" s="903"/>
      <c r="I244" s="903"/>
      <c r="J244" s="690">
        <f t="shared" si="28"/>
        <v>0</v>
      </c>
      <c r="K244" s="903"/>
      <c r="L244" s="903"/>
      <c r="M244" s="903"/>
      <c r="N244" s="903"/>
      <c r="O244" s="903"/>
      <c r="P244" s="903"/>
      <c r="Q244" s="903"/>
      <c r="R244" s="903"/>
      <c r="S244" s="903"/>
      <c r="T244" s="690">
        <f t="shared" si="29"/>
        <v>0</v>
      </c>
      <c r="U244" s="666"/>
      <c r="V244" s="666"/>
      <c r="W244" s="666"/>
      <c r="X244" s="666"/>
      <c r="Y244" s="666"/>
      <c r="Z244" s="666"/>
      <c r="AA244" s="666"/>
      <c r="AB244" s="666"/>
      <c r="AC244" s="666"/>
      <c r="AD244" s="666"/>
      <c r="AE244" s="666"/>
      <c r="AF244" s="666"/>
      <c r="AG244" s="666"/>
      <c r="AH244" s="666"/>
      <c r="AI244" s="666"/>
      <c r="AJ244" s="666"/>
      <c r="AK244" s="666"/>
      <c r="AL244" s="666"/>
      <c r="AM244" s="666"/>
      <c r="AN244" s="666"/>
      <c r="AO244" s="666"/>
      <c r="AP244" s="666"/>
      <c r="AQ244" s="666"/>
      <c r="AR244" s="666"/>
      <c r="AS244" s="666"/>
      <c r="AT244" s="666"/>
      <c r="AU244" s="666"/>
      <c r="AV244" s="666"/>
      <c r="AW244" s="666"/>
      <c r="AX244" s="666"/>
      <c r="AY244" s="666"/>
      <c r="AZ244" s="666"/>
    </row>
    <row r="245" spans="1:52" ht="12.75" x14ac:dyDescent="0.2">
      <c r="A245" s="796">
        <f>Darsteller!B52</f>
        <v>0</v>
      </c>
      <c r="B245" s="902">
        <f>Darsteller!F52</f>
        <v>0</v>
      </c>
      <c r="C245" s="666"/>
      <c r="D245" s="903"/>
      <c r="E245" s="903"/>
      <c r="F245" s="903"/>
      <c r="G245" s="690">
        <f t="shared" si="27"/>
        <v>0</v>
      </c>
      <c r="H245" s="903"/>
      <c r="I245" s="903"/>
      <c r="J245" s="690">
        <f t="shared" si="28"/>
        <v>0</v>
      </c>
      <c r="K245" s="903"/>
      <c r="L245" s="903"/>
      <c r="M245" s="903"/>
      <c r="N245" s="903"/>
      <c r="O245" s="903"/>
      <c r="P245" s="903"/>
      <c r="Q245" s="903"/>
      <c r="R245" s="903"/>
      <c r="S245" s="903"/>
      <c r="T245" s="690">
        <f t="shared" si="29"/>
        <v>0</v>
      </c>
      <c r="U245" s="666"/>
      <c r="V245" s="666"/>
      <c r="W245" s="666"/>
      <c r="X245" s="666"/>
      <c r="Y245" s="666"/>
      <c r="Z245" s="666"/>
      <c r="AA245" s="666"/>
      <c r="AB245" s="666"/>
      <c r="AC245" s="666"/>
      <c r="AD245" s="666"/>
      <c r="AE245" s="666"/>
      <c r="AF245" s="666"/>
      <c r="AG245" s="666"/>
      <c r="AH245" s="666"/>
      <c r="AI245" s="666"/>
      <c r="AJ245" s="666"/>
      <c r="AK245" s="666"/>
      <c r="AL245" s="666"/>
      <c r="AM245" s="666"/>
      <c r="AN245" s="666"/>
      <c r="AO245" s="666"/>
      <c r="AP245" s="666"/>
      <c r="AQ245" s="666"/>
      <c r="AR245" s="666"/>
      <c r="AS245" s="666"/>
      <c r="AT245" s="666"/>
      <c r="AU245" s="666"/>
      <c r="AV245" s="666"/>
      <c r="AW245" s="666"/>
      <c r="AX245" s="666"/>
      <c r="AY245" s="666"/>
      <c r="AZ245" s="666"/>
    </row>
    <row r="246" spans="1:52" ht="12.75" x14ac:dyDescent="0.2">
      <c r="A246" s="796">
        <f>Darsteller!B53</f>
        <v>0</v>
      </c>
      <c r="B246" s="902">
        <f>Darsteller!F53</f>
        <v>0</v>
      </c>
      <c r="C246" s="666"/>
      <c r="D246" s="903"/>
      <c r="E246" s="903"/>
      <c r="F246" s="903"/>
      <c r="G246" s="690">
        <f t="shared" si="27"/>
        <v>0</v>
      </c>
      <c r="H246" s="903"/>
      <c r="I246" s="903"/>
      <c r="J246" s="690">
        <f t="shared" si="28"/>
        <v>0</v>
      </c>
      <c r="K246" s="903"/>
      <c r="L246" s="903"/>
      <c r="M246" s="903"/>
      <c r="N246" s="903"/>
      <c r="O246" s="903"/>
      <c r="P246" s="903"/>
      <c r="Q246" s="903"/>
      <c r="R246" s="903"/>
      <c r="S246" s="903"/>
      <c r="T246" s="690">
        <f t="shared" si="29"/>
        <v>0</v>
      </c>
      <c r="U246" s="666"/>
      <c r="V246" s="666"/>
      <c r="W246" s="666"/>
      <c r="X246" s="666"/>
      <c r="Y246" s="666"/>
      <c r="Z246" s="666"/>
      <c r="AA246" s="666"/>
      <c r="AB246" s="666"/>
      <c r="AC246" s="666"/>
      <c r="AD246" s="666"/>
      <c r="AE246" s="666"/>
      <c r="AF246" s="666"/>
      <c r="AG246" s="666"/>
      <c r="AH246" s="666"/>
      <c r="AI246" s="666"/>
      <c r="AJ246" s="666"/>
      <c r="AK246" s="666"/>
      <c r="AL246" s="666"/>
      <c r="AM246" s="666"/>
      <c r="AN246" s="666"/>
      <c r="AO246" s="666"/>
      <c r="AP246" s="666"/>
      <c r="AQ246" s="666"/>
      <c r="AR246" s="666"/>
      <c r="AS246" s="666"/>
      <c r="AT246" s="666"/>
      <c r="AU246" s="666"/>
      <c r="AV246" s="666"/>
      <c r="AW246" s="666"/>
      <c r="AX246" s="666"/>
      <c r="AY246" s="666"/>
      <c r="AZ246" s="666"/>
    </row>
    <row r="247" spans="1:52" ht="12.75" x14ac:dyDescent="0.2">
      <c r="A247" s="782"/>
      <c r="B247" s="676"/>
      <c r="C247" s="666"/>
      <c r="D247" s="666"/>
      <c r="E247" s="666"/>
      <c r="F247" s="666"/>
      <c r="G247" s="666"/>
      <c r="H247" s="666"/>
      <c r="I247" s="666"/>
      <c r="J247" s="666"/>
      <c r="K247" s="666"/>
      <c r="L247" s="666"/>
      <c r="M247" s="666"/>
      <c r="N247" s="666"/>
      <c r="O247" s="666"/>
      <c r="P247" s="666"/>
      <c r="Q247" s="666"/>
      <c r="R247" s="666"/>
      <c r="S247" s="666"/>
      <c r="T247" s="666"/>
      <c r="U247" s="666"/>
      <c r="V247" s="666"/>
      <c r="W247" s="666"/>
      <c r="X247" s="666"/>
      <c r="Y247" s="666"/>
      <c r="Z247" s="666"/>
      <c r="AA247" s="666"/>
      <c r="AB247" s="666"/>
      <c r="AC247" s="666"/>
      <c r="AD247" s="666"/>
      <c r="AE247" s="666"/>
      <c r="AF247" s="666"/>
      <c r="AG247" s="666"/>
      <c r="AH247" s="666"/>
      <c r="AI247" s="666"/>
      <c r="AJ247" s="666"/>
      <c r="AK247" s="666"/>
      <c r="AL247" s="666"/>
      <c r="AM247" s="666"/>
      <c r="AN247" s="666"/>
      <c r="AO247" s="666"/>
      <c r="AP247" s="666"/>
      <c r="AQ247" s="666"/>
      <c r="AR247" s="666"/>
      <c r="AS247" s="666"/>
      <c r="AT247" s="666"/>
      <c r="AU247" s="666"/>
      <c r="AV247" s="666"/>
      <c r="AW247" s="666"/>
      <c r="AX247" s="666"/>
      <c r="AY247" s="666"/>
      <c r="AZ247" s="666"/>
    </row>
    <row r="248" spans="1:52" ht="12.75" x14ac:dyDescent="0.2">
      <c r="A248" s="963" t="s">
        <v>1065</v>
      </c>
      <c r="B248" s="962">
        <f>SUM(B197:B247)</f>
        <v>0</v>
      </c>
      <c r="C248" s="666"/>
      <c r="D248" s="964">
        <f>SUM(D197:D247)</f>
        <v>0</v>
      </c>
      <c r="E248" s="965">
        <f>SUM(E197:E247)</f>
        <v>0</v>
      </c>
      <c r="F248" s="965"/>
      <c r="G248" s="964">
        <f>SUM(G197:G247)</f>
        <v>0</v>
      </c>
      <c r="H248" s="965">
        <f>SUM(H197:H247)</f>
        <v>0</v>
      </c>
      <c r="I248" s="965"/>
      <c r="J248" s="964">
        <f t="shared" ref="J248:R248" si="30">SUM(J197:J247)</f>
        <v>0</v>
      </c>
      <c r="K248" s="965">
        <f t="shared" si="30"/>
        <v>0</v>
      </c>
      <c r="L248" s="965">
        <f t="shared" si="30"/>
        <v>0</v>
      </c>
      <c r="M248" s="965">
        <f t="shared" si="30"/>
        <v>0</v>
      </c>
      <c r="N248" s="965">
        <f t="shared" si="30"/>
        <v>0</v>
      </c>
      <c r="O248" s="965">
        <f t="shared" si="30"/>
        <v>0</v>
      </c>
      <c r="P248" s="965">
        <f t="shared" si="30"/>
        <v>0</v>
      </c>
      <c r="Q248" s="965">
        <f t="shared" si="30"/>
        <v>0</v>
      </c>
      <c r="R248" s="965">
        <f t="shared" si="30"/>
        <v>0</v>
      </c>
      <c r="S248" s="965"/>
      <c r="T248" s="964">
        <f>SUM(T197:T247)</f>
        <v>0</v>
      </c>
      <c r="U248" s="666"/>
      <c r="V248" s="666"/>
      <c r="W248" s="666"/>
      <c r="X248" s="666"/>
      <c r="Y248" s="666"/>
      <c r="Z248" s="666"/>
      <c r="AA248" s="666"/>
      <c r="AB248" s="666"/>
      <c r="AC248" s="666"/>
      <c r="AD248" s="666"/>
      <c r="AE248" s="666"/>
      <c r="AF248" s="666"/>
      <c r="AG248" s="666"/>
      <c r="AH248" s="666"/>
      <c r="AI248" s="666"/>
      <c r="AJ248" s="666"/>
      <c r="AK248" s="666"/>
      <c r="AL248" s="666"/>
      <c r="AM248" s="666"/>
      <c r="AN248" s="666"/>
      <c r="AO248" s="666"/>
      <c r="AP248" s="666"/>
      <c r="AQ248" s="666"/>
      <c r="AR248" s="666"/>
      <c r="AS248" s="666"/>
      <c r="AT248" s="666"/>
      <c r="AU248" s="666"/>
      <c r="AV248" s="666"/>
      <c r="AW248" s="666"/>
      <c r="AX248" s="666"/>
      <c r="AY248" s="666"/>
      <c r="AZ248" s="666"/>
    </row>
    <row r="249" spans="1:52" x14ac:dyDescent="0.2">
      <c r="A249" s="666"/>
      <c r="B249" s="666"/>
      <c r="C249" s="666"/>
      <c r="D249" s="677"/>
      <c r="E249" s="678"/>
      <c r="F249" s="679"/>
      <c r="G249" s="679"/>
      <c r="H249" s="678"/>
      <c r="I249" s="678"/>
      <c r="J249" s="678"/>
      <c r="K249" s="678"/>
      <c r="L249" s="678"/>
      <c r="M249" s="680"/>
      <c r="N249" s="680"/>
      <c r="O249" s="666"/>
      <c r="P249" s="666"/>
      <c r="Q249" s="666"/>
      <c r="R249" s="666"/>
      <c r="S249" s="666"/>
      <c r="T249" s="666"/>
      <c r="U249" s="666"/>
      <c r="V249" s="666"/>
      <c r="W249" s="666"/>
      <c r="X249" s="666"/>
      <c r="Y249" s="666"/>
      <c r="Z249" s="666"/>
      <c r="AA249" s="666"/>
      <c r="AB249" s="666"/>
      <c r="AC249" s="666"/>
      <c r="AD249" s="666"/>
      <c r="AE249" s="666"/>
      <c r="AF249" s="666"/>
      <c r="AG249" s="666"/>
      <c r="AH249" s="666"/>
      <c r="AI249" s="666"/>
      <c r="AJ249" s="666"/>
      <c r="AK249" s="666"/>
      <c r="AL249" s="666"/>
      <c r="AM249" s="666"/>
      <c r="AN249" s="666"/>
      <c r="AO249" s="666"/>
      <c r="AP249" s="666"/>
      <c r="AQ249" s="666"/>
      <c r="AR249" s="666"/>
      <c r="AS249" s="666"/>
      <c r="AT249" s="666"/>
      <c r="AU249" s="666"/>
      <c r="AV249" s="666"/>
      <c r="AW249" s="666"/>
      <c r="AX249" s="666"/>
      <c r="AY249" s="666"/>
      <c r="AZ249" s="666"/>
    </row>
    <row r="250" spans="1:52" ht="12.75" x14ac:dyDescent="0.2">
      <c r="A250" s="804" t="str">
        <f>IF(Stammblatt!$L$4=1,"Kleindarsteller","Background actors")</f>
        <v>Kleindarsteller</v>
      </c>
      <c r="B250" s="902">
        <f>Darsteller!F64</f>
        <v>0</v>
      </c>
      <c r="C250" s="666"/>
      <c r="D250" s="903"/>
      <c r="E250" s="903"/>
      <c r="F250" s="903"/>
      <c r="G250" s="690">
        <f t="shared" ref="G250:G251" si="31">E250*F250</f>
        <v>0</v>
      </c>
      <c r="H250" s="903"/>
      <c r="I250" s="903"/>
      <c r="J250" s="690">
        <f t="shared" ref="J250:J251" si="32">H250*I250</f>
        <v>0</v>
      </c>
      <c r="K250" s="903"/>
      <c r="L250" s="903"/>
      <c r="M250" s="903"/>
      <c r="N250" s="903"/>
      <c r="O250" s="903"/>
      <c r="P250" s="903"/>
      <c r="Q250" s="903"/>
      <c r="R250" s="903"/>
      <c r="S250" s="903"/>
      <c r="T250" s="690">
        <f t="shared" ref="T250:T251" si="33">R250*S250</f>
        <v>0</v>
      </c>
      <c r="U250" s="666"/>
      <c r="V250" s="666"/>
      <c r="W250" s="666"/>
      <c r="X250" s="666"/>
      <c r="Y250" s="666"/>
      <c r="Z250" s="666"/>
      <c r="AA250" s="666"/>
      <c r="AB250" s="666"/>
      <c r="AC250" s="666"/>
      <c r="AD250" s="666"/>
      <c r="AE250" s="666"/>
      <c r="AF250" s="666"/>
      <c r="AG250" s="666"/>
      <c r="AH250" s="666"/>
      <c r="AI250" s="666"/>
      <c r="AJ250" s="666"/>
      <c r="AK250" s="666"/>
      <c r="AL250" s="666"/>
      <c r="AM250" s="666"/>
      <c r="AN250" s="666"/>
      <c r="AO250" s="666"/>
      <c r="AP250" s="666"/>
      <c r="AQ250" s="666"/>
      <c r="AR250" s="666"/>
      <c r="AS250" s="666"/>
      <c r="AT250" s="666"/>
      <c r="AU250" s="666"/>
      <c r="AV250" s="666"/>
      <c r="AW250" s="666"/>
      <c r="AX250" s="666"/>
      <c r="AY250" s="666"/>
      <c r="AZ250" s="666"/>
    </row>
    <row r="251" spans="1:52" ht="12.75" x14ac:dyDescent="0.2">
      <c r="A251" s="804" t="str">
        <f>IF(Stammblatt!$L$4=1,"Komparsen","Extras")</f>
        <v>Komparsen</v>
      </c>
      <c r="B251" s="902">
        <f>Darsteller!F65</f>
        <v>0</v>
      </c>
      <c r="C251" s="666"/>
      <c r="D251" s="903"/>
      <c r="E251" s="903"/>
      <c r="F251" s="903"/>
      <c r="G251" s="690">
        <f t="shared" si="31"/>
        <v>0</v>
      </c>
      <c r="H251" s="903"/>
      <c r="I251" s="903"/>
      <c r="J251" s="690">
        <f t="shared" si="32"/>
        <v>0</v>
      </c>
      <c r="K251" s="903"/>
      <c r="L251" s="903"/>
      <c r="M251" s="903"/>
      <c r="N251" s="903"/>
      <c r="O251" s="903"/>
      <c r="P251" s="903"/>
      <c r="Q251" s="903"/>
      <c r="R251" s="903"/>
      <c r="S251" s="903"/>
      <c r="T251" s="690">
        <f t="shared" si="33"/>
        <v>0</v>
      </c>
      <c r="U251" s="666"/>
      <c r="V251" s="666"/>
      <c r="W251" s="666"/>
      <c r="X251" s="666"/>
      <c r="Y251" s="666"/>
      <c r="Z251" s="666"/>
      <c r="AA251" s="666"/>
      <c r="AB251" s="666"/>
      <c r="AC251" s="666"/>
      <c r="AD251" s="666"/>
      <c r="AE251" s="666"/>
      <c r="AF251" s="666"/>
      <c r="AG251" s="666"/>
      <c r="AH251" s="666"/>
      <c r="AI251" s="666"/>
      <c r="AJ251" s="666"/>
      <c r="AK251" s="666"/>
      <c r="AL251" s="666"/>
      <c r="AM251" s="666"/>
      <c r="AN251" s="666"/>
      <c r="AO251" s="666"/>
      <c r="AP251" s="666"/>
      <c r="AQ251" s="666"/>
      <c r="AR251" s="666"/>
      <c r="AS251" s="666"/>
      <c r="AT251" s="666"/>
      <c r="AU251" s="666"/>
      <c r="AV251" s="666"/>
      <c r="AW251" s="666"/>
      <c r="AX251" s="666"/>
      <c r="AY251" s="666"/>
      <c r="AZ251" s="666"/>
    </row>
    <row r="252" spans="1:52" x14ac:dyDescent="0.2">
      <c r="A252" s="666"/>
      <c r="B252" s="666"/>
      <c r="C252" s="666"/>
      <c r="D252" s="677"/>
      <c r="E252" s="678"/>
      <c r="F252" s="679"/>
      <c r="G252" s="679"/>
      <c r="H252" s="678"/>
      <c r="I252" s="678"/>
      <c r="J252" s="678"/>
      <c r="K252" s="678"/>
      <c r="L252" s="678"/>
      <c r="M252" s="680"/>
      <c r="N252" s="680"/>
      <c r="O252" s="666"/>
      <c r="P252" s="666"/>
      <c r="Q252" s="666"/>
      <c r="R252" s="666"/>
      <c r="S252" s="666"/>
      <c r="T252" s="666"/>
      <c r="U252" s="666"/>
      <c r="V252" s="666"/>
      <c r="W252" s="666"/>
      <c r="X252" s="666"/>
      <c r="Y252" s="666"/>
      <c r="Z252" s="666"/>
      <c r="AA252" s="666"/>
      <c r="AB252" s="666"/>
      <c r="AC252" s="666"/>
      <c r="AD252" s="666"/>
      <c r="AE252" s="666"/>
      <c r="AF252" s="666"/>
      <c r="AG252" s="666"/>
      <c r="AH252" s="666"/>
      <c r="AI252" s="666"/>
      <c r="AJ252" s="666"/>
      <c r="AK252" s="666"/>
      <c r="AL252" s="666"/>
      <c r="AM252" s="666"/>
      <c r="AN252" s="666"/>
      <c r="AO252" s="666"/>
      <c r="AP252" s="666"/>
      <c r="AQ252" s="666"/>
      <c r="AR252" s="666"/>
      <c r="AS252" s="666"/>
      <c r="AT252" s="666"/>
      <c r="AU252" s="666"/>
      <c r="AV252" s="666"/>
      <c r="AW252" s="666"/>
      <c r="AX252" s="666"/>
      <c r="AY252" s="666"/>
      <c r="AZ252" s="666"/>
    </row>
    <row r="253" spans="1:52" ht="12.75" x14ac:dyDescent="0.2">
      <c r="A253" s="963" t="s">
        <v>1066</v>
      </c>
      <c r="B253" s="962">
        <f>SUM(B202:B252)</f>
        <v>0</v>
      </c>
      <c r="C253" s="666"/>
      <c r="D253" s="964">
        <f>SUM(D250:D252)</f>
        <v>0</v>
      </c>
      <c r="E253" s="965">
        <f t="shared" ref="E253:T253" si="34">SUM(E250:E252)</f>
        <v>0</v>
      </c>
      <c r="F253" s="965"/>
      <c r="G253" s="964">
        <f t="shared" si="34"/>
        <v>0</v>
      </c>
      <c r="H253" s="965">
        <f t="shared" si="34"/>
        <v>0</v>
      </c>
      <c r="I253" s="965"/>
      <c r="J253" s="964">
        <f t="shared" si="34"/>
        <v>0</v>
      </c>
      <c r="K253" s="965">
        <f t="shared" si="34"/>
        <v>0</v>
      </c>
      <c r="L253" s="965">
        <f t="shared" si="34"/>
        <v>0</v>
      </c>
      <c r="M253" s="965">
        <f t="shared" si="34"/>
        <v>0</v>
      </c>
      <c r="N253" s="965">
        <f t="shared" si="34"/>
        <v>0</v>
      </c>
      <c r="O253" s="965">
        <f t="shared" si="34"/>
        <v>0</v>
      </c>
      <c r="P253" s="965">
        <f t="shared" si="34"/>
        <v>0</v>
      </c>
      <c r="Q253" s="965">
        <f t="shared" si="34"/>
        <v>0</v>
      </c>
      <c r="R253" s="965">
        <f t="shared" si="34"/>
        <v>0</v>
      </c>
      <c r="S253" s="965"/>
      <c r="T253" s="964">
        <f t="shared" si="34"/>
        <v>0</v>
      </c>
      <c r="U253" s="666"/>
      <c r="V253" s="666"/>
      <c r="W253" s="666"/>
      <c r="X253" s="666"/>
      <c r="Y253" s="666"/>
      <c r="Z253" s="666"/>
      <c r="AA253" s="666"/>
      <c r="AB253" s="666"/>
      <c r="AC253" s="666"/>
      <c r="AD253" s="666"/>
      <c r="AE253" s="666"/>
      <c r="AF253" s="666"/>
      <c r="AG253" s="666"/>
      <c r="AH253" s="666"/>
      <c r="AI253" s="666"/>
      <c r="AJ253" s="666"/>
      <c r="AK253" s="666"/>
      <c r="AL253" s="666"/>
      <c r="AM253" s="666"/>
      <c r="AN253" s="666"/>
      <c r="AO253" s="666"/>
      <c r="AP253" s="666"/>
      <c r="AQ253" s="666"/>
      <c r="AR253" s="666"/>
      <c r="AS253" s="666"/>
      <c r="AT253" s="666"/>
      <c r="AU253" s="666"/>
      <c r="AV253" s="666"/>
      <c r="AW253" s="666"/>
      <c r="AX253" s="666"/>
      <c r="AY253" s="666"/>
      <c r="AZ253" s="666"/>
    </row>
    <row r="254" spans="1:52" x14ac:dyDescent="0.2">
      <c r="A254" s="666"/>
      <c r="B254" s="666"/>
      <c r="C254" s="666"/>
      <c r="D254" s="677"/>
      <c r="E254" s="678"/>
      <c r="F254" s="679"/>
      <c r="G254" s="679"/>
      <c r="H254" s="678"/>
      <c r="I254" s="678"/>
      <c r="J254" s="678"/>
      <c r="K254" s="678"/>
      <c r="L254" s="678"/>
      <c r="M254" s="680"/>
      <c r="N254" s="680"/>
      <c r="O254" s="666"/>
      <c r="P254" s="666"/>
      <c r="Q254" s="666"/>
      <c r="R254" s="666"/>
      <c r="S254" s="666"/>
      <c r="T254" s="666"/>
      <c r="U254" s="666"/>
      <c r="V254" s="666"/>
      <c r="W254" s="666"/>
      <c r="X254" s="666"/>
      <c r="Y254" s="666"/>
      <c r="Z254" s="666"/>
      <c r="AA254" s="666"/>
      <c r="AB254" s="666"/>
      <c r="AC254" s="666"/>
      <c r="AD254" s="666"/>
      <c r="AE254" s="666"/>
      <c r="AF254" s="666"/>
      <c r="AG254" s="666"/>
      <c r="AH254" s="666"/>
      <c r="AI254" s="666"/>
      <c r="AJ254" s="666"/>
      <c r="AK254" s="666"/>
      <c r="AL254" s="666"/>
      <c r="AM254" s="666"/>
      <c r="AN254" s="666"/>
      <c r="AO254" s="666"/>
      <c r="AP254" s="666"/>
      <c r="AQ254" s="666"/>
      <c r="AR254" s="666"/>
      <c r="AS254" s="666"/>
      <c r="AT254" s="666"/>
      <c r="AU254" s="666"/>
      <c r="AV254" s="666"/>
      <c r="AW254" s="666"/>
      <c r="AX254" s="666"/>
      <c r="AY254" s="666"/>
      <c r="AZ254" s="666"/>
    </row>
    <row r="255" spans="1:52" x14ac:dyDescent="0.2">
      <c r="A255" s="666"/>
      <c r="B255" s="666"/>
      <c r="C255" s="666"/>
      <c r="D255" s="677"/>
      <c r="E255" s="678"/>
      <c r="F255" s="679"/>
      <c r="G255" s="679"/>
      <c r="H255" s="678"/>
      <c r="I255" s="678"/>
      <c r="J255" s="678"/>
      <c r="K255" s="678"/>
      <c r="L255" s="678"/>
      <c r="M255" s="680"/>
      <c r="N255" s="680"/>
      <c r="O255" s="666"/>
      <c r="P255" s="666"/>
      <c r="Q255" s="666"/>
      <c r="R255" s="666"/>
      <c r="S255" s="666"/>
      <c r="T255" s="666"/>
      <c r="U255" s="666"/>
      <c r="V255" s="666"/>
      <c r="W255" s="666"/>
      <c r="X255" s="666"/>
      <c r="Y255" s="666"/>
      <c r="Z255" s="666"/>
      <c r="AA255" s="666"/>
      <c r="AB255" s="666"/>
      <c r="AC255" s="666"/>
      <c r="AD255" s="666"/>
      <c r="AE255" s="666"/>
      <c r="AF255" s="666"/>
      <c r="AG255" s="666"/>
      <c r="AH255" s="666"/>
      <c r="AI255" s="666"/>
      <c r="AJ255" s="666"/>
      <c r="AK255" s="666"/>
      <c r="AL255" s="666"/>
      <c r="AM255" s="666"/>
      <c r="AN255" s="666"/>
      <c r="AO255" s="666"/>
      <c r="AP255" s="666"/>
      <c r="AQ255" s="666"/>
      <c r="AR255" s="666"/>
      <c r="AS255" s="666"/>
      <c r="AT255" s="666"/>
      <c r="AU255" s="666"/>
      <c r="AV255" s="666"/>
      <c r="AW255" s="666"/>
      <c r="AX255" s="666"/>
      <c r="AY255" s="666"/>
      <c r="AZ255" s="666"/>
    </row>
    <row r="256" spans="1:52" x14ac:dyDescent="0.2">
      <c r="A256" s="666"/>
      <c r="B256" s="666"/>
      <c r="C256" s="666"/>
      <c r="D256" s="677"/>
      <c r="E256" s="678"/>
      <c r="F256" s="679"/>
      <c r="G256" s="679"/>
      <c r="H256" s="678"/>
      <c r="I256" s="678"/>
      <c r="J256" s="678"/>
      <c r="K256" s="678"/>
      <c r="L256" s="678"/>
      <c r="M256" s="680"/>
      <c r="N256" s="680"/>
      <c r="O256" s="666"/>
      <c r="P256" s="666"/>
      <c r="Q256" s="666"/>
      <c r="R256" s="666"/>
      <c r="S256" s="666"/>
      <c r="T256" s="666"/>
      <c r="U256" s="666"/>
      <c r="V256" s="666"/>
      <c r="W256" s="666"/>
      <c r="X256" s="666"/>
      <c r="Y256" s="666"/>
      <c r="Z256" s="666"/>
      <c r="AA256" s="666"/>
      <c r="AB256" s="666"/>
      <c r="AC256" s="666"/>
      <c r="AD256" s="666"/>
      <c r="AE256" s="666"/>
      <c r="AF256" s="666"/>
      <c r="AG256" s="666"/>
      <c r="AH256" s="666"/>
      <c r="AI256" s="666"/>
      <c r="AJ256" s="666"/>
      <c r="AK256" s="666"/>
      <c r="AL256" s="666"/>
      <c r="AM256" s="666"/>
      <c r="AN256" s="666"/>
      <c r="AO256" s="666"/>
      <c r="AP256" s="666"/>
      <c r="AQ256" s="666"/>
      <c r="AR256" s="666"/>
      <c r="AS256" s="666"/>
      <c r="AT256" s="666"/>
      <c r="AU256" s="666"/>
      <c r="AV256" s="666"/>
      <c r="AW256" s="666"/>
      <c r="AX256" s="666"/>
      <c r="AY256" s="666"/>
      <c r="AZ256" s="666"/>
    </row>
    <row r="257" spans="1:52" x14ac:dyDescent="0.2">
      <c r="A257" s="666"/>
      <c r="B257" s="666"/>
      <c r="C257" s="666"/>
      <c r="D257" s="677"/>
      <c r="E257" s="678"/>
      <c r="F257" s="679"/>
      <c r="G257" s="679"/>
      <c r="H257" s="678"/>
      <c r="I257" s="678"/>
      <c r="J257" s="678"/>
      <c r="K257" s="678"/>
      <c r="L257" s="678"/>
      <c r="M257" s="680"/>
      <c r="N257" s="680"/>
      <c r="O257" s="666"/>
      <c r="P257" s="666"/>
      <c r="Q257" s="666"/>
      <c r="R257" s="666"/>
      <c r="S257" s="666"/>
      <c r="T257" s="666"/>
      <c r="U257" s="666"/>
      <c r="V257" s="666"/>
      <c r="W257" s="666"/>
      <c r="X257" s="666"/>
      <c r="Y257" s="666"/>
      <c r="Z257" s="666"/>
      <c r="AA257" s="666"/>
      <c r="AB257" s="666"/>
      <c r="AC257" s="666"/>
      <c r="AD257" s="666"/>
      <c r="AE257" s="666"/>
      <c r="AF257" s="666"/>
      <c r="AG257" s="666"/>
      <c r="AH257" s="666"/>
      <c r="AI257" s="666"/>
      <c r="AJ257" s="666"/>
      <c r="AK257" s="666"/>
      <c r="AL257" s="666"/>
      <c r="AM257" s="666"/>
      <c r="AN257" s="666"/>
      <c r="AO257" s="666"/>
      <c r="AP257" s="666"/>
      <c r="AQ257" s="666"/>
      <c r="AR257" s="666"/>
      <c r="AS257" s="666"/>
      <c r="AT257" s="666"/>
      <c r="AU257" s="666"/>
      <c r="AV257" s="666"/>
      <c r="AW257" s="666"/>
      <c r="AX257" s="666"/>
      <c r="AY257" s="666"/>
      <c r="AZ257" s="666"/>
    </row>
    <row r="258" spans="1:52" x14ac:dyDescent="0.2">
      <c r="A258" s="666"/>
      <c r="B258" s="666"/>
      <c r="C258" s="666"/>
      <c r="D258" s="677"/>
      <c r="E258" s="678"/>
      <c r="F258" s="679"/>
      <c r="G258" s="679"/>
      <c r="H258" s="678"/>
      <c r="I258" s="678"/>
      <c r="J258" s="678"/>
      <c r="K258" s="678"/>
      <c r="L258" s="678"/>
      <c r="M258" s="680"/>
      <c r="N258" s="680"/>
      <c r="O258" s="666"/>
      <c r="P258" s="666"/>
      <c r="Q258" s="666"/>
      <c r="R258" s="666"/>
      <c r="S258" s="666"/>
      <c r="T258" s="666"/>
      <c r="U258" s="666"/>
      <c r="V258" s="666"/>
      <c r="W258" s="666"/>
      <c r="X258" s="666"/>
      <c r="Y258" s="666"/>
      <c r="Z258" s="666"/>
      <c r="AA258" s="666"/>
      <c r="AB258" s="666"/>
      <c r="AC258" s="666"/>
      <c r="AD258" s="666"/>
      <c r="AE258" s="666"/>
      <c r="AF258" s="666"/>
      <c r="AG258" s="666"/>
      <c r="AH258" s="666"/>
      <c r="AI258" s="666"/>
      <c r="AJ258" s="666"/>
      <c r="AK258" s="666"/>
      <c r="AL258" s="666"/>
      <c r="AM258" s="666"/>
      <c r="AN258" s="666"/>
      <c r="AO258" s="666"/>
      <c r="AP258" s="666"/>
      <c r="AQ258" s="666"/>
      <c r="AR258" s="666"/>
      <c r="AS258" s="666"/>
      <c r="AT258" s="666"/>
      <c r="AU258" s="666"/>
      <c r="AV258" s="666"/>
      <c r="AW258" s="666"/>
      <c r="AX258" s="666"/>
      <c r="AY258" s="666"/>
      <c r="AZ258" s="666"/>
    </row>
    <row r="259" spans="1:52" x14ac:dyDescent="0.2">
      <c r="A259" s="666"/>
      <c r="B259" s="666"/>
      <c r="C259" s="666"/>
      <c r="D259" s="677"/>
      <c r="E259" s="678"/>
      <c r="F259" s="679"/>
      <c r="G259" s="679"/>
      <c r="H259" s="678"/>
      <c r="I259" s="678"/>
      <c r="J259" s="678"/>
      <c r="K259" s="678"/>
      <c r="L259" s="678"/>
      <c r="M259" s="680"/>
      <c r="N259" s="680"/>
      <c r="O259" s="666"/>
      <c r="P259" s="666"/>
      <c r="Q259" s="666"/>
      <c r="R259" s="666"/>
      <c r="S259" s="666"/>
      <c r="T259" s="666"/>
      <c r="U259" s="666"/>
      <c r="V259" s="666"/>
      <c r="W259" s="666"/>
      <c r="X259" s="666"/>
      <c r="Y259" s="666"/>
      <c r="Z259" s="666"/>
      <c r="AA259" s="666"/>
      <c r="AB259" s="666"/>
      <c r="AC259" s="666"/>
      <c r="AD259" s="666"/>
      <c r="AE259" s="666"/>
      <c r="AF259" s="666"/>
      <c r="AG259" s="666"/>
      <c r="AH259" s="666"/>
      <c r="AI259" s="666"/>
      <c r="AJ259" s="666"/>
      <c r="AK259" s="666"/>
      <c r="AL259" s="666"/>
      <c r="AM259" s="666"/>
      <c r="AN259" s="666"/>
      <c r="AO259" s="666"/>
      <c r="AP259" s="666"/>
      <c r="AQ259" s="666"/>
      <c r="AR259" s="666"/>
      <c r="AS259" s="666"/>
      <c r="AT259" s="666"/>
      <c r="AU259" s="666"/>
      <c r="AV259" s="666"/>
      <c r="AW259" s="666"/>
      <c r="AX259" s="666"/>
      <c r="AY259" s="666"/>
      <c r="AZ259" s="666"/>
    </row>
    <row r="260" spans="1:52" x14ac:dyDescent="0.2">
      <c r="A260" s="666"/>
      <c r="B260" s="666"/>
      <c r="C260" s="666"/>
      <c r="D260" s="677"/>
      <c r="E260" s="678"/>
      <c r="F260" s="679"/>
      <c r="G260" s="679"/>
      <c r="H260" s="678"/>
      <c r="I260" s="678"/>
      <c r="J260" s="678"/>
      <c r="K260" s="678"/>
      <c r="L260" s="678"/>
      <c r="M260" s="680"/>
      <c r="N260" s="680"/>
      <c r="O260" s="666"/>
      <c r="P260" s="666"/>
      <c r="Q260" s="666"/>
      <c r="R260" s="666"/>
      <c r="S260" s="666"/>
      <c r="T260" s="666"/>
      <c r="U260" s="666"/>
      <c r="V260" s="666"/>
      <c r="W260" s="666"/>
      <c r="X260" s="666"/>
      <c r="Y260" s="666"/>
      <c r="Z260" s="666"/>
      <c r="AA260" s="666"/>
      <c r="AB260" s="666"/>
      <c r="AC260" s="666"/>
      <c r="AD260" s="666"/>
      <c r="AE260" s="666"/>
      <c r="AF260" s="666"/>
      <c r="AG260" s="666"/>
      <c r="AH260" s="666"/>
      <c r="AI260" s="666"/>
      <c r="AJ260" s="666"/>
      <c r="AK260" s="666"/>
      <c r="AL260" s="666"/>
      <c r="AM260" s="666"/>
      <c r="AN260" s="666"/>
      <c r="AO260" s="666"/>
      <c r="AP260" s="666"/>
      <c r="AQ260" s="666"/>
      <c r="AR260" s="666"/>
      <c r="AS260" s="666"/>
      <c r="AT260" s="666"/>
      <c r="AU260" s="666"/>
      <c r="AV260" s="666"/>
      <c r="AW260" s="666"/>
      <c r="AX260" s="666"/>
      <c r="AY260" s="666"/>
      <c r="AZ260" s="666"/>
    </row>
    <row r="261" spans="1:52" x14ac:dyDescent="0.2">
      <c r="A261" s="666"/>
      <c r="B261" s="666"/>
      <c r="C261" s="666"/>
      <c r="D261" s="677"/>
      <c r="E261" s="678"/>
      <c r="F261" s="679"/>
      <c r="G261" s="679"/>
      <c r="H261" s="678"/>
      <c r="I261" s="678"/>
      <c r="J261" s="678"/>
      <c r="K261" s="678"/>
      <c r="L261" s="678"/>
      <c r="M261" s="680"/>
      <c r="N261" s="680"/>
      <c r="O261" s="666"/>
      <c r="P261" s="666"/>
      <c r="Q261" s="666"/>
      <c r="R261" s="666"/>
      <c r="S261" s="666"/>
      <c r="T261" s="666"/>
      <c r="U261" s="666"/>
      <c r="V261" s="666"/>
      <c r="W261" s="666"/>
      <c r="X261" s="666"/>
      <c r="Y261" s="666"/>
      <c r="Z261" s="666"/>
      <c r="AA261" s="666"/>
      <c r="AB261" s="666"/>
      <c r="AC261" s="666"/>
      <c r="AD261" s="666"/>
      <c r="AE261" s="666"/>
      <c r="AF261" s="666"/>
      <c r="AG261" s="666"/>
      <c r="AH261" s="666"/>
      <c r="AI261" s="666"/>
      <c r="AJ261" s="666"/>
      <c r="AK261" s="666"/>
      <c r="AL261" s="666"/>
      <c r="AM261" s="666"/>
      <c r="AN261" s="666"/>
      <c r="AO261" s="666"/>
      <c r="AP261" s="666"/>
      <c r="AQ261" s="666"/>
      <c r="AR261" s="666"/>
      <c r="AS261" s="666"/>
      <c r="AT261" s="666"/>
      <c r="AU261" s="666"/>
      <c r="AV261" s="666"/>
      <c r="AW261" s="666"/>
      <c r="AX261" s="666"/>
      <c r="AY261" s="666"/>
      <c r="AZ261" s="666"/>
    </row>
    <row r="262" spans="1:52" x14ac:dyDescent="0.2">
      <c r="A262" s="666"/>
      <c r="B262" s="666"/>
      <c r="C262" s="666"/>
      <c r="D262" s="677"/>
      <c r="E262" s="678"/>
      <c r="F262" s="679"/>
      <c r="G262" s="679"/>
      <c r="H262" s="678"/>
      <c r="I262" s="678"/>
      <c r="J262" s="678"/>
      <c r="K262" s="678"/>
      <c r="L262" s="678"/>
      <c r="M262" s="680"/>
      <c r="N262" s="680"/>
      <c r="O262" s="666"/>
      <c r="P262" s="666"/>
      <c r="Q262" s="666"/>
      <c r="R262" s="666"/>
      <c r="S262" s="666"/>
      <c r="T262" s="666"/>
      <c r="U262" s="666"/>
      <c r="V262" s="666"/>
      <c r="W262" s="666"/>
      <c r="X262" s="666"/>
      <c r="Y262" s="666"/>
      <c r="Z262" s="666"/>
      <c r="AA262" s="666"/>
      <c r="AB262" s="666"/>
      <c r="AC262" s="666"/>
      <c r="AD262" s="666"/>
      <c r="AE262" s="666"/>
      <c r="AF262" s="666"/>
      <c r="AG262" s="666"/>
      <c r="AH262" s="666"/>
      <c r="AI262" s="666"/>
      <c r="AJ262" s="666"/>
      <c r="AK262" s="666"/>
      <c r="AL262" s="666"/>
      <c r="AM262" s="666"/>
      <c r="AN262" s="666"/>
      <c r="AO262" s="666"/>
      <c r="AP262" s="666"/>
      <c r="AQ262" s="666"/>
      <c r="AR262" s="666"/>
      <c r="AS262" s="666"/>
      <c r="AT262" s="666"/>
      <c r="AU262" s="666"/>
      <c r="AV262" s="666"/>
      <c r="AW262" s="666"/>
      <c r="AX262" s="666"/>
      <c r="AY262" s="666"/>
      <c r="AZ262" s="666"/>
    </row>
    <row r="263" spans="1:52" x14ac:dyDescent="0.2">
      <c r="A263" s="666"/>
      <c r="B263" s="666"/>
      <c r="C263" s="666"/>
      <c r="D263" s="677"/>
      <c r="E263" s="678"/>
      <c r="F263" s="679"/>
      <c r="G263" s="679"/>
      <c r="H263" s="678"/>
      <c r="I263" s="678"/>
      <c r="J263" s="678"/>
      <c r="K263" s="678"/>
      <c r="L263" s="678"/>
      <c r="M263" s="680"/>
      <c r="N263" s="680"/>
      <c r="O263" s="666"/>
      <c r="P263" s="666"/>
      <c r="Q263" s="666"/>
      <c r="R263" s="666"/>
      <c r="S263" s="666"/>
      <c r="T263" s="666"/>
      <c r="U263" s="666"/>
      <c r="V263" s="666"/>
      <c r="W263" s="666"/>
      <c r="X263" s="666"/>
      <c r="Y263" s="666"/>
      <c r="Z263" s="666"/>
      <c r="AA263" s="666"/>
      <c r="AB263" s="666"/>
      <c r="AC263" s="666"/>
      <c r="AD263" s="666"/>
      <c r="AE263" s="666"/>
      <c r="AF263" s="666"/>
      <c r="AG263" s="666"/>
      <c r="AH263" s="666"/>
      <c r="AI263" s="666"/>
      <c r="AJ263" s="666"/>
      <c r="AK263" s="666"/>
      <c r="AL263" s="666"/>
      <c r="AM263" s="666"/>
      <c r="AN263" s="666"/>
      <c r="AO263" s="666"/>
      <c r="AP263" s="666"/>
      <c r="AQ263" s="666"/>
      <c r="AR263" s="666"/>
      <c r="AS263" s="666"/>
      <c r="AT263" s="666"/>
      <c r="AU263" s="666"/>
      <c r="AV263" s="666"/>
      <c r="AW263" s="666"/>
      <c r="AX263" s="666"/>
      <c r="AY263" s="666"/>
      <c r="AZ263" s="666"/>
    </row>
    <row r="264" spans="1:52" x14ac:dyDescent="0.2">
      <c r="A264" s="666"/>
      <c r="B264" s="666"/>
      <c r="C264" s="666"/>
      <c r="D264" s="677"/>
      <c r="E264" s="678"/>
      <c r="F264" s="679"/>
      <c r="G264" s="679"/>
      <c r="H264" s="678"/>
      <c r="I264" s="678"/>
      <c r="J264" s="678"/>
      <c r="K264" s="678"/>
      <c r="L264" s="678"/>
      <c r="M264" s="680"/>
      <c r="N264" s="680"/>
      <c r="O264" s="666"/>
      <c r="P264" s="666"/>
      <c r="Q264" s="666"/>
      <c r="R264" s="666"/>
      <c r="S264" s="666"/>
      <c r="T264" s="666"/>
      <c r="U264" s="666"/>
      <c r="V264" s="666"/>
      <c r="W264" s="666"/>
      <c r="X264" s="666"/>
      <c r="Y264" s="666"/>
      <c r="Z264" s="666"/>
      <c r="AA264" s="666"/>
      <c r="AB264" s="666"/>
      <c r="AC264" s="666"/>
      <c r="AD264" s="666"/>
      <c r="AE264" s="666"/>
      <c r="AF264" s="666"/>
      <c r="AG264" s="666"/>
      <c r="AH264" s="666"/>
      <c r="AI264" s="666"/>
      <c r="AJ264" s="666"/>
      <c r="AK264" s="666"/>
      <c r="AL264" s="666"/>
      <c r="AM264" s="666"/>
      <c r="AN264" s="666"/>
      <c r="AO264" s="666"/>
      <c r="AP264" s="666"/>
      <c r="AQ264" s="666"/>
      <c r="AR264" s="666"/>
      <c r="AS264" s="666"/>
      <c r="AT264" s="666"/>
      <c r="AU264" s="666"/>
      <c r="AV264" s="666"/>
      <c r="AW264" s="666"/>
      <c r="AX264" s="666"/>
      <c r="AY264" s="666"/>
      <c r="AZ264" s="666"/>
    </row>
    <row r="265" spans="1:52" x14ac:dyDescent="0.2">
      <c r="A265" s="666"/>
      <c r="B265" s="666"/>
      <c r="C265" s="666"/>
      <c r="D265" s="677"/>
      <c r="E265" s="678"/>
      <c r="F265" s="679"/>
      <c r="G265" s="679"/>
      <c r="H265" s="678"/>
      <c r="I265" s="678"/>
      <c r="J265" s="678"/>
      <c r="K265" s="678"/>
      <c r="L265" s="678"/>
      <c r="M265" s="680"/>
      <c r="N265" s="680"/>
      <c r="O265" s="666"/>
      <c r="P265" s="666"/>
      <c r="Q265" s="666"/>
      <c r="R265" s="666"/>
      <c r="S265" s="666"/>
      <c r="T265" s="666"/>
      <c r="U265" s="666"/>
      <c r="V265" s="666"/>
      <c r="W265" s="666"/>
      <c r="X265" s="666"/>
      <c r="Y265" s="666"/>
      <c r="Z265" s="666"/>
      <c r="AA265" s="666"/>
      <c r="AB265" s="666"/>
      <c r="AC265" s="666"/>
      <c r="AD265" s="666"/>
      <c r="AE265" s="666"/>
      <c r="AF265" s="666"/>
      <c r="AG265" s="666"/>
      <c r="AH265" s="666"/>
      <c r="AI265" s="666"/>
      <c r="AJ265" s="666"/>
      <c r="AK265" s="666"/>
      <c r="AL265" s="666"/>
      <c r="AM265" s="666"/>
      <c r="AN265" s="666"/>
      <c r="AO265" s="666"/>
      <c r="AP265" s="666"/>
      <c r="AQ265" s="666"/>
      <c r="AR265" s="666"/>
      <c r="AS265" s="666"/>
      <c r="AT265" s="666"/>
      <c r="AU265" s="666"/>
      <c r="AV265" s="666"/>
      <c r="AW265" s="666"/>
      <c r="AX265" s="666"/>
      <c r="AY265" s="666"/>
      <c r="AZ265" s="666"/>
    </row>
    <row r="266" spans="1:52" x14ac:dyDescent="0.2">
      <c r="A266" s="666"/>
      <c r="B266" s="666"/>
      <c r="C266" s="666"/>
      <c r="D266" s="677"/>
      <c r="E266" s="678"/>
      <c r="F266" s="679"/>
      <c r="G266" s="679"/>
      <c r="H266" s="678"/>
      <c r="I266" s="678"/>
      <c r="J266" s="678"/>
      <c r="K266" s="678"/>
      <c r="L266" s="678"/>
      <c r="M266" s="680"/>
      <c r="N266" s="680"/>
      <c r="O266" s="666"/>
      <c r="P266" s="666"/>
      <c r="Q266" s="666"/>
      <c r="R266" s="666"/>
      <c r="S266" s="666"/>
      <c r="T266" s="666"/>
      <c r="U266" s="666"/>
      <c r="V266" s="666"/>
      <c r="W266" s="666"/>
      <c r="X266" s="666"/>
      <c r="Y266" s="666"/>
      <c r="Z266" s="666"/>
      <c r="AA266" s="666"/>
      <c r="AB266" s="666"/>
      <c r="AC266" s="666"/>
      <c r="AD266" s="666"/>
      <c r="AE266" s="666"/>
      <c r="AF266" s="666"/>
      <c r="AG266" s="666"/>
      <c r="AH266" s="666"/>
      <c r="AI266" s="666"/>
      <c r="AJ266" s="666"/>
      <c r="AK266" s="666"/>
      <c r="AL266" s="666"/>
      <c r="AM266" s="666"/>
      <c r="AN266" s="666"/>
      <c r="AO266" s="666"/>
      <c r="AP266" s="666"/>
      <c r="AQ266" s="666"/>
      <c r="AR266" s="666"/>
      <c r="AS266" s="666"/>
      <c r="AT266" s="666"/>
      <c r="AU266" s="666"/>
      <c r="AV266" s="666"/>
      <c r="AW266" s="666"/>
      <c r="AX266" s="666"/>
      <c r="AY266" s="666"/>
      <c r="AZ266" s="666"/>
    </row>
    <row r="267" spans="1:52" x14ac:dyDescent="0.2">
      <c r="A267" s="666"/>
      <c r="B267" s="666"/>
      <c r="C267" s="666"/>
      <c r="D267" s="677"/>
      <c r="E267" s="678"/>
      <c r="F267" s="679"/>
      <c r="G267" s="679"/>
      <c r="H267" s="678"/>
      <c r="I267" s="678"/>
      <c r="J267" s="678"/>
      <c r="K267" s="678"/>
      <c r="L267" s="678"/>
      <c r="M267" s="680"/>
      <c r="N267" s="680"/>
      <c r="O267" s="666"/>
      <c r="P267" s="666"/>
      <c r="Q267" s="666"/>
      <c r="R267" s="666"/>
      <c r="S267" s="666"/>
      <c r="T267" s="666"/>
      <c r="U267" s="666"/>
      <c r="V267" s="666"/>
      <c r="W267" s="666"/>
      <c r="X267" s="666"/>
      <c r="Y267" s="666"/>
      <c r="Z267" s="666"/>
      <c r="AA267" s="666"/>
      <c r="AB267" s="666"/>
      <c r="AC267" s="666"/>
      <c r="AD267" s="666"/>
      <c r="AE267" s="666"/>
      <c r="AF267" s="666"/>
      <c r="AG267" s="666"/>
      <c r="AH267" s="666"/>
      <c r="AI267" s="666"/>
      <c r="AJ267" s="666"/>
      <c r="AK267" s="666"/>
      <c r="AL267" s="666"/>
      <c r="AM267" s="666"/>
      <c r="AN267" s="666"/>
      <c r="AO267" s="666"/>
      <c r="AP267" s="666"/>
      <c r="AQ267" s="666"/>
      <c r="AR267" s="666"/>
      <c r="AS267" s="666"/>
      <c r="AT267" s="666"/>
      <c r="AU267" s="666"/>
      <c r="AV267" s="666"/>
      <c r="AW267" s="666"/>
      <c r="AX267" s="666"/>
      <c r="AY267" s="666"/>
      <c r="AZ267" s="666"/>
    </row>
    <row r="268" spans="1:52" x14ac:dyDescent="0.2">
      <c r="A268" s="666"/>
      <c r="B268" s="666"/>
      <c r="C268" s="666"/>
      <c r="D268" s="677"/>
      <c r="E268" s="678"/>
      <c r="F268" s="679"/>
      <c r="G268" s="679"/>
      <c r="H268" s="678"/>
      <c r="I268" s="678"/>
      <c r="J268" s="678"/>
      <c r="K268" s="678"/>
      <c r="L268" s="678"/>
      <c r="M268" s="680"/>
      <c r="N268" s="680"/>
      <c r="O268" s="666"/>
      <c r="P268" s="666"/>
      <c r="Q268" s="666"/>
      <c r="R268" s="666"/>
      <c r="S268" s="666"/>
      <c r="T268" s="666"/>
      <c r="U268" s="666"/>
      <c r="V268" s="666"/>
      <c r="W268" s="666"/>
      <c r="X268" s="666"/>
      <c r="Y268" s="666"/>
      <c r="Z268" s="666"/>
      <c r="AA268" s="666"/>
      <c r="AB268" s="666"/>
      <c r="AC268" s="666"/>
      <c r="AD268" s="666"/>
      <c r="AE268" s="666"/>
      <c r="AF268" s="666"/>
      <c r="AG268" s="666"/>
      <c r="AH268" s="666"/>
      <c r="AI268" s="666"/>
      <c r="AJ268" s="666"/>
      <c r="AK268" s="666"/>
      <c r="AL268" s="666"/>
      <c r="AM268" s="666"/>
      <c r="AN268" s="666"/>
      <c r="AO268" s="666"/>
      <c r="AP268" s="666"/>
      <c r="AQ268" s="666"/>
      <c r="AR268" s="666"/>
      <c r="AS268" s="666"/>
      <c r="AT268" s="666"/>
      <c r="AU268" s="666"/>
      <c r="AV268" s="666"/>
      <c r="AW268" s="666"/>
      <c r="AX268" s="666"/>
      <c r="AY268" s="666"/>
      <c r="AZ268" s="666"/>
    </row>
    <row r="269" spans="1:52" x14ac:dyDescent="0.2">
      <c r="A269" s="666"/>
      <c r="B269" s="666"/>
      <c r="C269" s="666"/>
      <c r="D269" s="677"/>
      <c r="E269" s="678"/>
      <c r="F269" s="679"/>
      <c r="G269" s="679"/>
      <c r="H269" s="678"/>
      <c r="I269" s="678"/>
      <c r="J269" s="678"/>
      <c r="K269" s="678"/>
      <c r="L269" s="678"/>
      <c r="M269" s="680"/>
      <c r="N269" s="680"/>
      <c r="O269" s="666"/>
      <c r="P269" s="666"/>
      <c r="Q269" s="666"/>
      <c r="R269" s="666"/>
      <c r="S269" s="666"/>
      <c r="T269" s="666"/>
      <c r="U269" s="666"/>
      <c r="V269" s="666"/>
      <c r="W269" s="666"/>
      <c r="X269" s="666"/>
      <c r="Y269" s="666"/>
      <c r="Z269" s="666"/>
      <c r="AA269" s="666"/>
      <c r="AB269" s="666"/>
      <c r="AC269" s="666"/>
      <c r="AD269" s="666"/>
      <c r="AE269" s="666"/>
      <c r="AF269" s="666"/>
      <c r="AG269" s="666"/>
      <c r="AH269" s="666"/>
      <c r="AI269" s="666"/>
      <c r="AJ269" s="666"/>
      <c r="AK269" s="666"/>
      <c r="AL269" s="666"/>
      <c r="AM269" s="666"/>
      <c r="AN269" s="666"/>
      <c r="AO269" s="666"/>
      <c r="AP269" s="666"/>
      <c r="AQ269" s="666"/>
      <c r="AR269" s="666"/>
      <c r="AS269" s="666"/>
      <c r="AT269" s="666"/>
      <c r="AU269" s="666"/>
      <c r="AV269" s="666"/>
      <c r="AW269" s="666"/>
      <c r="AX269" s="666"/>
      <c r="AY269" s="666"/>
      <c r="AZ269" s="666"/>
    </row>
    <row r="270" spans="1:52" x14ac:dyDescent="0.2">
      <c r="A270" s="666"/>
      <c r="B270" s="666"/>
      <c r="C270" s="666"/>
      <c r="D270" s="677"/>
      <c r="E270" s="678"/>
      <c r="F270" s="679"/>
      <c r="G270" s="679"/>
      <c r="H270" s="678"/>
      <c r="I270" s="678"/>
      <c r="J270" s="678"/>
      <c r="K270" s="678"/>
      <c r="L270" s="678"/>
      <c r="M270" s="680"/>
      <c r="N270" s="680"/>
      <c r="O270" s="666"/>
      <c r="P270" s="666"/>
      <c r="Q270" s="666"/>
      <c r="R270" s="666"/>
      <c r="S270" s="666"/>
      <c r="T270" s="666"/>
      <c r="U270" s="666"/>
      <c r="V270" s="666"/>
      <c r="W270" s="666"/>
      <c r="X270" s="666"/>
      <c r="Y270" s="666"/>
      <c r="Z270" s="666"/>
      <c r="AA270" s="666"/>
      <c r="AB270" s="666"/>
      <c r="AC270" s="666"/>
      <c r="AD270" s="666"/>
      <c r="AE270" s="666"/>
      <c r="AF270" s="666"/>
      <c r="AG270" s="666"/>
      <c r="AH270" s="666"/>
      <c r="AI270" s="666"/>
      <c r="AJ270" s="666"/>
      <c r="AK270" s="666"/>
      <c r="AL270" s="666"/>
      <c r="AM270" s="666"/>
      <c r="AN270" s="666"/>
      <c r="AO270" s="666"/>
      <c r="AP270" s="666"/>
      <c r="AQ270" s="666"/>
      <c r="AR270" s="666"/>
      <c r="AS270" s="666"/>
      <c r="AT270" s="666"/>
      <c r="AU270" s="666"/>
      <c r="AV270" s="666"/>
      <c r="AW270" s="666"/>
      <c r="AX270" s="666"/>
      <c r="AY270" s="666"/>
      <c r="AZ270" s="666"/>
    </row>
    <row r="271" spans="1:52" x14ac:dyDescent="0.2">
      <c r="A271" s="666"/>
      <c r="B271" s="666"/>
      <c r="C271" s="666"/>
      <c r="D271" s="677"/>
      <c r="E271" s="678"/>
      <c r="F271" s="679"/>
      <c r="G271" s="679"/>
      <c r="H271" s="678"/>
      <c r="I271" s="678"/>
      <c r="J271" s="678"/>
      <c r="K271" s="678"/>
      <c r="L271" s="678"/>
      <c r="M271" s="680"/>
      <c r="N271" s="680"/>
      <c r="O271" s="666"/>
      <c r="P271" s="666"/>
      <c r="Q271" s="666"/>
      <c r="R271" s="666"/>
      <c r="S271" s="666"/>
      <c r="T271" s="666"/>
      <c r="U271" s="666"/>
      <c r="V271" s="666"/>
      <c r="W271" s="666"/>
      <c r="X271" s="666"/>
      <c r="Y271" s="666"/>
      <c r="Z271" s="666"/>
      <c r="AA271" s="666"/>
      <c r="AB271" s="666"/>
      <c r="AC271" s="666"/>
      <c r="AD271" s="666"/>
      <c r="AE271" s="666"/>
      <c r="AF271" s="666"/>
      <c r="AG271" s="666"/>
      <c r="AH271" s="666"/>
      <c r="AI271" s="666"/>
      <c r="AJ271" s="666"/>
      <c r="AK271" s="666"/>
      <c r="AL271" s="666"/>
      <c r="AM271" s="666"/>
      <c r="AN271" s="666"/>
      <c r="AO271" s="666"/>
      <c r="AP271" s="666"/>
      <c r="AQ271" s="666"/>
      <c r="AR271" s="666"/>
      <c r="AS271" s="666"/>
      <c r="AT271" s="666"/>
      <c r="AU271" s="666"/>
      <c r="AV271" s="666"/>
      <c r="AW271" s="666"/>
      <c r="AX271" s="666"/>
      <c r="AY271" s="666"/>
      <c r="AZ271" s="666"/>
    </row>
    <row r="272" spans="1:52" x14ac:dyDescent="0.2">
      <c r="A272" s="666"/>
      <c r="B272" s="666"/>
      <c r="C272" s="666"/>
      <c r="D272" s="677"/>
      <c r="E272" s="678"/>
      <c r="F272" s="679"/>
      <c r="G272" s="679"/>
      <c r="H272" s="678"/>
      <c r="I272" s="678"/>
      <c r="J272" s="678"/>
      <c r="K272" s="678"/>
      <c r="L272" s="678"/>
      <c r="M272" s="680"/>
      <c r="N272" s="680"/>
      <c r="O272" s="666"/>
      <c r="P272" s="666"/>
      <c r="Q272" s="666"/>
      <c r="R272" s="666"/>
      <c r="S272" s="666"/>
      <c r="T272" s="666"/>
      <c r="U272" s="666"/>
      <c r="V272" s="666"/>
      <c r="W272" s="666"/>
      <c r="X272" s="666"/>
      <c r="Y272" s="666"/>
      <c r="Z272" s="666"/>
      <c r="AA272" s="666"/>
      <c r="AB272" s="666"/>
      <c r="AC272" s="666"/>
      <c r="AD272" s="666"/>
      <c r="AE272" s="666"/>
      <c r="AF272" s="666"/>
      <c r="AG272" s="666"/>
      <c r="AH272" s="666"/>
      <c r="AI272" s="666"/>
      <c r="AJ272" s="666"/>
      <c r="AK272" s="666"/>
      <c r="AL272" s="666"/>
      <c r="AM272" s="666"/>
      <c r="AN272" s="666"/>
      <c r="AO272" s="666"/>
      <c r="AP272" s="666"/>
      <c r="AQ272" s="666"/>
      <c r="AR272" s="666"/>
      <c r="AS272" s="666"/>
      <c r="AT272" s="666"/>
      <c r="AU272" s="666"/>
      <c r="AV272" s="666"/>
      <c r="AW272" s="666"/>
      <c r="AX272" s="666"/>
      <c r="AY272" s="666"/>
      <c r="AZ272" s="666"/>
    </row>
    <row r="273" spans="1:52" x14ac:dyDescent="0.2">
      <c r="A273" s="666"/>
      <c r="B273" s="666"/>
      <c r="C273" s="666"/>
      <c r="D273" s="677"/>
      <c r="E273" s="678"/>
      <c r="F273" s="679"/>
      <c r="G273" s="679"/>
      <c r="H273" s="678"/>
      <c r="I273" s="678"/>
      <c r="J273" s="678"/>
      <c r="K273" s="678"/>
      <c r="L273" s="678"/>
      <c r="M273" s="680"/>
      <c r="N273" s="680"/>
      <c r="O273" s="666"/>
      <c r="P273" s="666"/>
      <c r="Q273" s="666"/>
      <c r="R273" s="666"/>
      <c r="S273" s="666"/>
      <c r="T273" s="666"/>
      <c r="U273" s="666"/>
      <c r="V273" s="666"/>
      <c r="W273" s="666"/>
      <c r="X273" s="666"/>
      <c r="Y273" s="666"/>
      <c r="Z273" s="666"/>
      <c r="AA273" s="666"/>
      <c r="AB273" s="666"/>
      <c r="AC273" s="666"/>
      <c r="AD273" s="666"/>
      <c r="AE273" s="666"/>
      <c r="AF273" s="666"/>
      <c r="AG273" s="666"/>
      <c r="AH273" s="666"/>
      <c r="AI273" s="666"/>
      <c r="AJ273" s="666"/>
      <c r="AK273" s="666"/>
      <c r="AL273" s="666"/>
      <c r="AM273" s="666"/>
      <c r="AN273" s="666"/>
      <c r="AO273" s="666"/>
      <c r="AP273" s="666"/>
      <c r="AQ273" s="666"/>
      <c r="AR273" s="666"/>
      <c r="AS273" s="666"/>
      <c r="AT273" s="666"/>
      <c r="AU273" s="666"/>
      <c r="AV273" s="666"/>
      <c r="AW273" s="666"/>
      <c r="AX273" s="666"/>
      <c r="AY273" s="666"/>
      <c r="AZ273" s="666"/>
    </row>
    <row r="274" spans="1:52" x14ac:dyDescent="0.2">
      <c r="A274" s="666"/>
      <c r="B274" s="666"/>
      <c r="C274" s="666"/>
      <c r="D274" s="677"/>
      <c r="E274" s="678"/>
      <c r="F274" s="679"/>
      <c r="G274" s="679"/>
      <c r="H274" s="678"/>
      <c r="I274" s="678"/>
      <c r="J274" s="678"/>
      <c r="K274" s="678"/>
      <c r="L274" s="678"/>
      <c r="M274" s="680"/>
      <c r="N274" s="680"/>
      <c r="O274" s="666"/>
      <c r="P274" s="666"/>
      <c r="Q274" s="666"/>
      <c r="R274" s="666"/>
      <c r="S274" s="666"/>
      <c r="T274" s="666"/>
      <c r="U274" s="666"/>
      <c r="V274" s="666"/>
      <c r="W274" s="666"/>
      <c r="X274" s="666"/>
      <c r="Y274" s="666"/>
      <c r="Z274" s="666"/>
      <c r="AA274" s="666"/>
      <c r="AB274" s="666"/>
      <c r="AC274" s="666"/>
      <c r="AD274" s="666"/>
      <c r="AE274" s="666"/>
      <c r="AF274" s="666"/>
      <c r="AG274" s="666"/>
      <c r="AH274" s="666"/>
      <c r="AI274" s="666"/>
      <c r="AJ274" s="666"/>
      <c r="AK274" s="666"/>
      <c r="AL274" s="666"/>
      <c r="AM274" s="666"/>
      <c r="AN274" s="666"/>
      <c r="AO274" s="666"/>
      <c r="AP274" s="666"/>
      <c r="AQ274" s="666"/>
      <c r="AR274" s="666"/>
      <c r="AS274" s="666"/>
      <c r="AT274" s="666"/>
      <c r="AU274" s="666"/>
      <c r="AV274" s="666"/>
      <c r="AW274" s="666"/>
      <c r="AX274" s="666"/>
      <c r="AY274" s="666"/>
      <c r="AZ274" s="666"/>
    </row>
    <row r="275" spans="1:52" x14ac:dyDescent="0.2">
      <c r="A275" s="666"/>
      <c r="B275" s="666"/>
      <c r="C275" s="666"/>
      <c r="D275" s="677"/>
      <c r="E275" s="678"/>
      <c r="F275" s="679"/>
      <c r="G275" s="679"/>
      <c r="H275" s="678"/>
      <c r="I275" s="678"/>
      <c r="J275" s="678"/>
      <c r="K275" s="678"/>
      <c r="L275" s="678"/>
      <c r="M275" s="680"/>
      <c r="N275" s="680"/>
      <c r="O275" s="666"/>
      <c r="P275" s="666"/>
      <c r="Q275" s="666"/>
      <c r="R275" s="666"/>
      <c r="S275" s="666"/>
      <c r="T275" s="666"/>
      <c r="U275" s="666"/>
      <c r="V275" s="666"/>
      <c r="W275" s="666"/>
      <c r="X275" s="666"/>
      <c r="Y275" s="666"/>
      <c r="Z275" s="666"/>
      <c r="AA275" s="666"/>
      <c r="AB275" s="666"/>
      <c r="AC275" s="666"/>
      <c r="AD275" s="666"/>
      <c r="AE275" s="666"/>
      <c r="AF275" s="666"/>
      <c r="AG275" s="666"/>
      <c r="AH275" s="666"/>
      <c r="AI275" s="666"/>
      <c r="AJ275" s="666"/>
      <c r="AK275" s="666"/>
      <c r="AL275" s="666"/>
      <c r="AM275" s="666"/>
      <c r="AN275" s="666"/>
      <c r="AO275" s="666"/>
      <c r="AP275" s="666"/>
      <c r="AQ275" s="666"/>
      <c r="AR275" s="666"/>
      <c r="AS275" s="666"/>
      <c r="AT275" s="666"/>
      <c r="AU275" s="666"/>
      <c r="AV275" s="666"/>
      <c r="AW275" s="666"/>
      <c r="AX275" s="666"/>
      <c r="AY275" s="666"/>
      <c r="AZ275" s="666"/>
    </row>
    <row r="276" spans="1:52" x14ac:dyDescent="0.2">
      <c r="A276" s="666"/>
      <c r="B276" s="666"/>
      <c r="C276" s="666"/>
      <c r="D276" s="677"/>
      <c r="E276" s="678"/>
      <c r="F276" s="679"/>
      <c r="G276" s="679"/>
      <c r="H276" s="678"/>
      <c r="I276" s="678"/>
      <c r="J276" s="678"/>
      <c r="K276" s="678"/>
      <c r="L276" s="678"/>
      <c r="M276" s="680"/>
      <c r="N276" s="680"/>
      <c r="O276" s="666"/>
      <c r="P276" s="666"/>
      <c r="Q276" s="666"/>
      <c r="R276" s="666"/>
      <c r="S276" s="666"/>
      <c r="T276" s="666"/>
      <c r="U276" s="666"/>
      <c r="V276" s="666"/>
      <c r="W276" s="666"/>
      <c r="X276" s="666"/>
      <c r="Y276" s="666"/>
      <c r="Z276" s="666"/>
      <c r="AA276" s="666"/>
      <c r="AB276" s="666"/>
      <c r="AC276" s="666"/>
      <c r="AD276" s="666"/>
      <c r="AE276" s="666"/>
      <c r="AF276" s="666"/>
      <c r="AG276" s="666"/>
      <c r="AH276" s="666"/>
      <c r="AI276" s="666"/>
      <c r="AJ276" s="666"/>
      <c r="AK276" s="666"/>
      <c r="AL276" s="666"/>
      <c r="AM276" s="666"/>
      <c r="AN276" s="666"/>
      <c r="AO276" s="666"/>
      <c r="AP276" s="666"/>
      <c r="AQ276" s="666"/>
      <c r="AR276" s="666"/>
      <c r="AS276" s="666"/>
      <c r="AT276" s="666"/>
      <c r="AU276" s="666"/>
      <c r="AV276" s="666"/>
      <c r="AW276" s="666"/>
      <c r="AX276" s="666"/>
      <c r="AY276" s="666"/>
      <c r="AZ276" s="666"/>
    </row>
    <row r="277" spans="1:52" x14ac:dyDescent="0.2">
      <c r="A277" s="666"/>
      <c r="B277" s="666"/>
      <c r="C277" s="666"/>
      <c r="D277" s="677"/>
      <c r="E277" s="678"/>
      <c r="F277" s="679"/>
      <c r="G277" s="679"/>
      <c r="H277" s="678"/>
      <c r="I277" s="678"/>
      <c r="J277" s="678"/>
      <c r="K277" s="678"/>
      <c r="L277" s="678"/>
      <c r="M277" s="680"/>
      <c r="N277" s="680"/>
      <c r="O277" s="666"/>
      <c r="P277" s="666"/>
      <c r="Q277" s="666"/>
      <c r="R277" s="666"/>
      <c r="S277" s="666"/>
      <c r="T277" s="666"/>
      <c r="U277" s="666"/>
      <c r="V277" s="666"/>
      <c r="W277" s="666"/>
      <c r="X277" s="666"/>
      <c r="Y277" s="666"/>
      <c r="Z277" s="666"/>
      <c r="AA277" s="666"/>
      <c r="AB277" s="666"/>
      <c r="AC277" s="666"/>
      <c r="AD277" s="666"/>
      <c r="AE277" s="666"/>
      <c r="AF277" s="666"/>
      <c r="AG277" s="666"/>
      <c r="AH277" s="666"/>
      <c r="AI277" s="666"/>
      <c r="AJ277" s="666"/>
      <c r="AK277" s="666"/>
      <c r="AL277" s="666"/>
      <c r="AM277" s="666"/>
      <c r="AN277" s="666"/>
      <c r="AO277" s="666"/>
      <c r="AP277" s="666"/>
      <c r="AQ277" s="666"/>
      <c r="AR277" s="666"/>
      <c r="AS277" s="666"/>
      <c r="AT277" s="666"/>
      <c r="AU277" s="666"/>
      <c r="AV277" s="666"/>
      <c r="AW277" s="666"/>
      <c r="AX277" s="666"/>
      <c r="AY277" s="666"/>
      <c r="AZ277" s="666"/>
    </row>
    <row r="278" spans="1:52" x14ac:dyDescent="0.2">
      <c r="A278" s="666"/>
      <c r="B278" s="666"/>
      <c r="C278" s="666"/>
      <c r="D278" s="677"/>
      <c r="E278" s="678"/>
      <c r="F278" s="679"/>
      <c r="G278" s="679"/>
      <c r="H278" s="678"/>
      <c r="I278" s="678"/>
      <c r="J278" s="678"/>
      <c r="K278" s="678"/>
      <c r="L278" s="678"/>
      <c r="M278" s="680"/>
      <c r="N278" s="680"/>
      <c r="O278" s="666"/>
      <c r="P278" s="666"/>
      <c r="Q278" s="666"/>
      <c r="R278" s="666"/>
      <c r="S278" s="666"/>
      <c r="T278" s="666"/>
      <c r="U278" s="666"/>
      <c r="V278" s="666"/>
      <c r="W278" s="666"/>
      <c r="X278" s="666"/>
      <c r="Y278" s="666"/>
      <c r="Z278" s="666"/>
      <c r="AA278" s="666"/>
      <c r="AB278" s="666"/>
      <c r="AC278" s="666"/>
      <c r="AD278" s="666"/>
      <c r="AE278" s="666"/>
      <c r="AF278" s="666"/>
      <c r="AG278" s="666"/>
      <c r="AH278" s="666"/>
      <c r="AI278" s="666"/>
      <c r="AJ278" s="666"/>
      <c r="AK278" s="666"/>
      <c r="AL278" s="666"/>
      <c r="AM278" s="666"/>
      <c r="AN278" s="666"/>
      <c r="AO278" s="666"/>
      <c r="AP278" s="666"/>
      <c r="AQ278" s="666"/>
      <c r="AR278" s="666"/>
      <c r="AS278" s="666"/>
      <c r="AT278" s="666"/>
      <c r="AU278" s="666"/>
      <c r="AV278" s="666"/>
      <c r="AW278" s="666"/>
      <c r="AX278" s="666"/>
      <c r="AY278" s="666"/>
      <c r="AZ278" s="666"/>
    </row>
    <row r="279" spans="1:52" x14ac:dyDescent="0.2">
      <c r="A279" s="666"/>
      <c r="B279" s="666"/>
      <c r="C279" s="666"/>
      <c r="D279" s="677"/>
      <c r="E279" s="678"/>
      <c r="F279" s="679"/>
      <c r="G279" s="679"/>
      <c r="H279" s="678"/>
      <c r="I279" s="678"/>
      <c r="J279" s="678"/>
      <c r="K279" s="678"/>
      <c r="L279" s="678"/>
      <c r="M279" s="680"/>
      <c r="N279" s="680"/>
      <c r="O279" s="666"/>
      <c r="P279" s="666"/>
      <c r="Q279" s="666"/>
      <c r="R279" s="666"/>
      <c r="S279" s="666"/>
      <c r="T279" s="666"/>
      <c r="U279" s="666"/>
      <c r="V279" s="666"/>
      <c r="W279" s="666"/>
      <c r="X279" s="666"/>
      <c r="Y279" s="666"/>
      <c r="Z279" s="666"/>
      <c r="AA279" s="666"/>
      <c r="AB279" s="666"/>
      <c r="AC279" s="666"/>
      <c r="AD279" s="666"/>
      <c r="AE279" s="666"/>
      <c r="AF279" s="666"/>
      <c r="AG279" s="666"/>
      <c r="AH279" s="666"/>
      <c r="AI279" s="666"/>
      <c r="AJ279" s="666"/>
      <c r="AK279" s="666"/>
      <c r="AL279" s="666"/>
      <c r="AM279" s="666"/>
      <c r="AN279" s="666"/>
      <c r="AO279" s="666"/>
      <c r="AP279" s="666"/>
      <c r="AQ279" s="666"/>
      <c r="AR279" s="666"/>
      <c r="AS279" s="666"/>
      <c r="AT279" s="666"/>
      <c r="AU279" s="666"/>
      <c r="AV279" s="666"/>
      <c r="AW279" s="666"/>
      <c r="AX279" s="666"/>
      <c r="AY279" s="666"/>
      <c r="AZ279" s="666"/>
    </row>
    <row r="280" spans="1:52" x14ac:dyDescent="0.2">
      <c r="A280" s="666"/>
      <c r="B280" s="666"/>
      <c r="C280" s="666"/>
      <c r="D280" s="677"/>
      <c r="E280" s="678"/>
      <c r="F280" s="679"/>
      <c r="G280" s="679"/>
      <c r="H280" s="678"/>
      <c r="I280" s="678"/>
      <c r="J280" s="678"/>
      <c r="K280" s="678"/>
      <c r="L280" s="678"/>
      <c r="M280" s="680"/>
      <c r="N280" s="680"/>
      <c r="O280" s="666"/>
      <c r="P280" s="666"/>
      <c r="Q280" s="666"/>
      <c r="R280" s="666"/>
      <c r="S280" s="666"/>
      <c r="T280" s="666"/>
      <c r="U280" s="666"/>
      <c r="V280" s="666"/>
      <c r="W280" s="666"/>
      <c r="X280" s="666"/>
      <c r="Y280" s="666"/>
      <c r="Z280" s="666"/>
      <c r="AA280" s="666"/>
      <c r="AB280" s="666"/>
      <c r="AC280" s="666"/>
      <c r="AD280" s="666"/>
      <c r="AE280" s="666"/>
      <c r="AF280" s="666"/>
      <c r="AG280" s="666"/>
      <c r="AH280" s="666"/>
      <c r="AI280" s="666"/>
      <c r="AJ280" s="666"/>
      <c r="AK280" s="666"/>
      <c r="AL280" s="666"/>
      <c r="AM280" s="666"/>
      <c r="AN280" s="666"/>
      <c r="AO280" s="666"/>
      <c r="AP280" s="666"/>
      <c r="AQ280" s="666"/>
      <c r="AR280" s="666"/>
      <c r="AS280" s="666"/>
      <c r="AT280" s="666"/>
      <c r="AU280" s="666"/>
      <c r="AV280" s="666"/>
      <c r="AW280" s="666"/>
      <c r="AX280" s="666"/>
      <c r="AY280" s="666"/>
      <c r="AZ280" s="666"/>
    </row>
    <row r="281" spans="1:52" x14ac:dyDescent="0.2">
      <c r="A281" s="666"/>
      <c r="B281" s="666"/>
      <c r="C281" s="666"/>
      <c r="D281" s="677"/>
      <c r="E281" s="678"/>
      <c r="F281" s="679"/>
      <c r="G281" s="679"/>
      <c r="H281" s="678"/>
      <c r="I281" s="678"/>
      <c r="J281" s="678"/>
      <c r="K281" s="678"/>
      <c r="L281" s="678"/>
      <c r="M281" s="680"/>
      <c r="N281" s="680"/>
      <c r="O281" s="666"/>
      <c r="P281" s="666"/>
      <c r="Q281" s="666"/>
      <c r="R281" s="666"/>
      <c r="S281" s="666"/>
      <c r="T281" s="666"/>
      <c r="U281" s="666"/>
      <c r="V281" s="666"/>
      <c r="W281" s="666"/>
      <c r="X281" s="666"/>
      <c r="Y281" s="666"/>
      <c r="Z281" s="666"/>
      <c r="AA281" s="666"/>
      <c r="AB281" s="666"/>
      <c r="AC281" s="666"/>
      <c r="AD281" s="666"/>
      <c r="AE281" s="666"/>
      <c r="AF281" s="666"/>
      <c r="AG281" s="666"/>
      <c r="AH281" s="666"/>
      <c r="AI281" s="666"/>
      <c r="AJ281" s="666"/>
      <c r="AK281" s="666"/>
      <c r="AL281" s="666"/>
      <c r="AM281" s="666"/>
      <c r="AN281" s="666"/>
      <c r="AO281" s="666"/>
      <c r="AP281" s="666"/>
      <c r="AQ281" s="666"/>
      <c r="AR281" s="666"/>
      <c r="AS281" s="666"/>
      <c r="AT281" s="666"/>
      <c r="AU281" s="666"/>
      <c r="AV281" s="666"/>
      <c r="AW281" s="666"/>
      <c r="AX281" s="666"/>
      <c r="AY281" s="666"/>
      <c r="AZ281" s="666"/>
    </row>
    <row r="282" spans="1:52" x14ac:dyDescent="0.2">
      <c r="A282" s="666"/>
      <c r="B282" s="666"/>
      <c r="C282" s="666"/>
      <c r="D282" s="677"/>
      <c r="E282" s="678"/>
      <c r="F282" s="679"/>
      <c r="G282" s="679"/>
      <c r="H282" s="678"/>
      <c r="I282" s="678"/>
      <c r="J282" s="678"/>
      <c r="K282" s="678"/>
      <c r="L282" s="678"/>
      <c r="M282" s="680"/>
      <c r="N282" s="680"/>
      <c r="O282" s="666"/>
      <c r="P282" s="666"/>
      <c r="Q282" s="666"/>
      <c r="R282" s="666"/>
      <c r="S282" s="666"/>
      <c r="T282" s="666"/>
      <c r="U282" s="666"/>
      <c r="V282" s="666"/>
      <c r="W282" s="666"/>
      <c r="X282" s="666"/>
      <c r="Y282" s="666"/>
      <c r="Z282" s="666"/>
      <c r="AA282" s="666"/>
      <c r="AB282" s="666"/>
      <c r="AC282" s="666"/>
      <c r="AD282" s="666"/>
      <c r="AE282" s="666"/>
      <c r="AF282" s="666"/>
      <c r="AG282" s="666"/>
      <c r="AH282" s="666"/>
      <c r="AI282" s="666"/>
      <c r="AJ282" s="666"/>
      <c r="AK282" s="666"/>
      <c r="AL282" s="666"/>
      <c r="AM282" s="666"/>
      <c r="AN282" s="666"/>
      <c r="AO282" s="666"/>
      <c r="AP282" s="666"/>
      <c r="AQ282" s="666"/>
      <c r="AR282" s="666"/>
      <c r="AS282" s="666"/>
      <c r="AT282" s="666"/>
      <c r="AU282" s="666"/>
      <c r="AV282" s="666"/>
      <c r="AW282" s="666"/>
      <c r="AX282" s="666"/>
      <c r="AY282" s="666"/>
      <c r="AZ282" s="666"/>
    </row>
    <row r="283" spans="1:52" x14ac:dyDescent="0.2">
      <c r="A283" s="666"/>
      <c r="B283" s="666"/>
      <c r="C283" s="666"/>
      <c r="D283" s="677"/>
      <c r="E283" s="678"/>
      <c r="F283" s="679"/>
      <c r="G283" s="679"/>
      <c r="H283" s="678"/>
      <c r="I283" s="678"/>
      <c r="J283" s="678"/>
      <c r="K283" s="678"/>
      <c r="L283" s="678"/>
      <c r="M283" s="680"/>
      <c r="N283" s="680"/>
      <c r="O283" s="666"/>
      <c r="P283" s="666"/>
      <c r="Q283" s="666"/>
      <c r="R283" s="666"/>
      <c r="S283" s="666"/>
      <c r="T283" s="666"/>
      <c r="U283" s="666"/>
      <c r="V283" s="666"/>
      <c r="W283" s="666"/>
      <c r="X283" s="666"/>
      <c r="Y283" s="666"/>
      <c r="Z283" s="666"/>
      <c r="AA283" s="666"/>
      <c r="AB283" s="666"/>
      <c r="AC283" s="666"/>
      <c r="AD283" s="666"/>
      <c r="AE283" s="666"/>
      <c r="AF283" s="666"/>
      <c r="AG283" s="666"/>
      <c r="AH283" s="666"/>
      <c r="AI283" s="666"/>
      <c r="AJ283" s="666"/>
      <c r="AK283" s="666"/>
      <c r="AL283" s="666"/>
      <c r="AM283" s="666"/>
      <c r="AN283" s="666"/>
      <c r="AO283" s="666"/>
      <c r="AP283" s="666"/>
      <c r="AQ283" s="666"/>
      <c r="AR283" s="666"/>
      <c r="AS283" s="666"/>
      <c r="AT283" s="666"/>
      <c r="AU283" s="666"/>
      <c r="AV283" s="666"/>
      <c r="AW283" s="666"/>
      <c r="AX283" s="666"/>
      <c r="AY283" s="666"/>
      <c r="AZ283" s="666"/>
    </row>
    <row r="284" spans="1:52" x14ac:dyDescent="0.2">
      <c r="A284" s="666"/>
      <c r="B284" s="666"/>
      <c r="C284" s="666"/>
      <c r="D284" s="677"/>
      <c r="E284" s="678"/>
      <c r="F284" s="679"/>
      <c r="G284" s="679"/>
      <c r="H284" s="678"/>
      <c r="I284" s="678"/>
      <c r="J284" s="678"/>
      <c r="K284" s="678"/>
      <c r="L284" s="678"/>
      <c r="M284" s="680"/>
      <c r="N284" s="680"/>
      <c r="O284" s="666"/>
      <c r="P284" s="666"/>
      <c r="Q284" s="666"/>
      <c r="R284" s="666"/>
      <c r="S284" s="666"/>
      <c r="T284" s="666"/>
      <c r="U284" s="666"/>
      <c r="V284" s="666"/>
      <c r="W284" s="666"/>
      <c r="X284" s="666"/>
      <c r="Y284" s="666"/>
      <c r="Z284" s="666"/>
      <c r="AA284" s="666"/>
      <c r="AB284" s="666"/>
      <c r="AC284" s="666"/>
      <c r="AD284" s="666"/>
      <c r="AE284" s="666"/>
      <c r="AF284" s="666"/>
      <c r="AG284" s="666"/>
      <c r="AH284" s="666"/>
      <c r="AI284" s="666"/>
      <c r="AJ284" s="666"/>
      <c r="AK284" s="666"/>
      <c r="AL284" s="666"/>
      <c r="AM284" s="666"/>
      <c r="AN284" s="666"/>
      <c r="AO284" s="666"/>
      <c r="AP284" s="666"/>
      <c r="AQ284" s="666"/>
      <c r="AR284" s="666"/>
      <c r="AS284" s="666"/>
      <c r="AT284" s="666"/>
      <c r="AU284" s="666"/>
      <c r="AV284" s="666"/>
      <c r="AW284" s="666"/>
      <c r="AX284" s="666"/>
      <c r="AY284" s="666"/>
      <c r="AZ284" s="666"/>
    </row>
    <row r="285" spans="1:52" x14ac:dyDescent="0.2">
      <c r="A285" s="666"/>
      <c r="B285" s="666"/>
      <c r="C285" s="666"/>
      <c r="D285" s="677"/>
      <c r="E285" s="678"/>
      <c r="F285" s="679"/>
      <c r="G285" s="679"/>
      <c r="H285" s="678"/>
      <c r="I285" s="678"/>
      <c r="J285" s="678"/>
      <c r="K285" s="678"/>
      <c r="L285" s="678"/>
      <c r="M285" s="680"/>
      <c r="N285" s="680"/>
      <c r="O285" s="666"/>
      <c r="P285" s="666"/>
      <c r="Q285" s="666"/>
      <c r="R285" s="666"/>
      <c r="S285" s="666"/>
      <c r="T285" s="666"/>
      <c r="U285" s="666"/>
      <c r="V285" s="666"/>
      <c r="W285" s="666"/>
      <c r="X285" s="666"/>
      <c r="Y285" s="666"/>
      <c r="Z285" s="666"/>
      <c r="AA285" s="666"/>
      <c r="AB285" s="666"/>
      <c r="AC285" s="666"/>
      <c r="AD285" s="666"/>
      <c r="AE285" s="666"/>
      <c r="AF285" s="666"/>
      <c r="AG285" s="666"/>
      <c r="AH285" s="666"/>
      <c r="AI285" s="666"/>
      <c r="AJ285" s="666"/>
      <c r="AK285" s="666"/>
      <c r="AL285" s="666"/>
      <c r="AM285" s="666"/>
      <c r="AN285" s="666"/>
      <c r="AO285" s="666"/>
      <c r="AP285" s="666"/>
      <c r="AQ285" s="666"/>
      <c r="AR285" s="666"/>
      <c r="AS285" s="666"/>
      <c r="AT285" s="666"/>
      <c r="AU285" s="666"/>
      <c r="AV285" s="666"/>
      <c r="AW285" s="666"/>
      <c r="AX285" s="666"/>
      <c r="AY285" s="666"/>
      <c r="AZ285" s="666"/>
    </row>
    <row r="286" spans="1:52" x14ac:dyDescent="0.2">
      <c r="A286" s="666"/>
      <c r="B286" s="666"/>
      <c r="C286" s="666"/>
      <c r="D286" s="677"/>
      <c r="E286" s="678"/>
      <c r="F286" s="679"/>
      <c r="G286" s="679"/>
      <c r="H286" s="678"/>
      <c r="I286" s="678"/>
      <c r="J286" s="678"/>
      <c r="K286" s="678"/>
      <c r="L286" s="678"/>
      <c r="M286" s="680"/>
      <c r="N286" s="680"/>
      <c r="O286" s="666"/>
      <c r="P286" s="666"/>
      <c r="Q286" s="666"/>
      <c r="R286" s="666"/>
      <c r="S286" s="666"/>
      <c r="T286" s="666"/>
      <c r="U286" s="666"/>
      <c r="V286" s="666"/>
      <c r="W286" s="666"/>
      <c r="X286" s="666"/>
      <c r="Y286" s="666"/>
      <c r="Z286" s="666"/>
      <c r="AA286" s="666"/>
      <c r="AB286" s="666"/>
      <c r="AC286" s="666"/>
      <c r="AD286" s="666"/>
      <c r="AE286" s="666"/>
      <c r="AF286" s="666"/>
      <c r="AG286" s="666"/>
      <c r="AH286" s="666"/>
      <c r="AI286" s="666"/>
      <c r="AJ286" s="666"/>
      <c r="AK286" s="666"/>
      <c r="AL286" s="666"/>
      <c r="AM286" s="666"/>
      <c r="AN286" s="666"/>
      <c r="AO286" s="666"/>
      <c r="AP286" s="666"/>
      <c r="AQ286" s="666"/>
      <c r="AR286" s="666"/>
      <c r="AS286" s="666"/>
      <c r="AT286" s="666"/>
      <c r="AU286" s="666"/>
      <c r="AV286" s="666"/>
      <c r="AW286" s="666"/>
      <c r="AX286" s="666"/>
      <c r="AY286" s="666"/>
      <c r="AZ286" s="666"/>
    </row>
    <row r="287" spans="1:52" x14ac:dyDescent="0.2">
      <c r="A287" s="666"/>
      <c r="B287" s="666"/>
      <c r="C287" s="666"/>
      <c r="D287" s="677"/>
      <c r="E287" s="678"/>
      <c r="F287" s="679"/>
      <c r="G287" s="679"/>
      <c r="H287" s="678"/>
      <c r="I287" s="678"/>
      <c r="J287" s="678"/>
      <c r="K287" s="678"/>
      <c r="L287" s="678"/>
      <c r="M287" s="680"/>
      <c r="N287" s="680"/>
      <c r="O287" s="666"/>
      <c r="P287" s="666"/>
      <c r="Q287" s="666"/>
      <c r="R287" s="666"/>
      <c r="S287" s="666"/>
      <c r="T287" s="666"/>
      <c r="U287" s="666"/>
      <c r="V287" s="666"/>
      <c r="W287" s="666"/>
      <c r="X287" s="666"/>
      <c r="Y287" s="666"/>
      <c r="Z287" s="666"/>
      <c r="AA287" s="666"/>
      <c r="AB287" s="666"/>
      <c r="AC287" s="666"/>
      <c r="AD287" s="666"/>
      <c r="AE287" s="666"/>
      <c r="AF287" s="666"/>
      <c r="AG287" s="666"/>
      <c r="AH287" s="666"/>
      <c r="AI287" s="666"/>
      <c r="AJ287" s="666"/>
      <c r="AK287" s="666"/>
      <c r="AL287" s="666"/>
      <c r="AM287" s="666"/>
      <c r="AN287" s="666"/>
      <c r="AO287" s="666"/>
      <c r="AP287" s="666"/>
      <c r="AQ287" s="666"/>
      <c r="AR287" s="666"/>
      <c r="AS287" s="666"/>
      <c r="AT287" s="666"/>
      <c r="AU287" s="666"/>
      <c r="AV287" s="666"/>
      <c r="AW287" s="666"/>
      <c r="AX287" s="666"/>
      <c r="AY287" s="666"/>
      <c r="AZ287" s="666"/>
    </row>
    <row r="288" spans="1:52" x14ac:dyDescent="0.2">
      <c r="A288" s="666"/>
      <c r="B288" s="666"/>
      <c r="C288" s="666"/>
      <c r="D288" s="677"/>
      <c r="E288" s="678"/>
      <c r="F288" s="679"/>
      <c r="G288" s="679"/>
      <c r="H288" s="678"/>
      <c r="I288" s="678"/>
      <c r="J288" s="678"/>
      <c r="K288" s="678"/>
      <c r="L288" s="678"/>
      <c r="M288" s="680"/>
      <c r="N288" s="680"/>
      <c r="O288" s="666"/>
      <c r="P288" s="666"/>
      <c r="Q288" s="666"/>
      <c r="R288" s="666"/>
      <c r="S288" s="666"/>
      <c r="T288" s="666"/>
      <c r="U288" s="666"/>
      <c r="V288" s="666"/>
      <c r="W288" s="666"/>
      <c r="X288" s="666"/>
      <c r="Y288" s="666"/>
      <c r="Z288" s="666"/>
      <c r="AA288" s="666"/>
      <c r="AB288" s="666"/>
      <c r="AC288" s="666"/>
      <c r="AD288" s="666"/>
      <c r="AE288" s="666"/>
      <c r="AF288" s="666"/>
      <c r="AG288" s="666"/>
      <c r="AH288" s="666"/>
      <c r="AI288" s="666"/>
      <c r="AJ288" s="666"/>
      <c r="AK288" s="666"/>
      <c r="AL288" s="666"/>
      <c r="AM288" s="666"/>
      <c r="AN288" s="666"/>
      <c r="AO288" s="666"/>
      <c r="AP288" s="666"/>
      <c r="AQ288" s="666"/>
      <c r="AR288" s="666"/>
      <c r="AS288" s="666"/>
      <c r="AT288" s="666"/>
      <c r="AU288" s="666"/>
      <c r="AV288" s="666"/>
      <c r="AW288" s="666"/>
      <c r="AX288" s="666"/>
      <c r="AY288" s="666"/>
      <c r="AZ288" s="666"/>
    </row>
    <row r="289" spans="1:52" x14ac:dyDescent="0.2">
      <c r="A289" s="666"/>
      <c r="B289" s="666"/>
      <c r="C289" s="666"/>
      <c r="D289" s="677"/>
      <c r="E289" s="678"/>
      <c r="F289" s="679"/>
      <c r="G289" s="679"/>
      <c r="H289" s="678"/>
      <c r="I289" s="678"/>
      <c r="J289" s="678"/>
      <c r="K289" s="678"/>
      <c r="L289" s="678"/>
      <c r="M289" s="680"/>
      <c r="N289" s="680"/>
      <c r="O289" s="666"/>
      <c r="P289" s="666"/>
      <c r="Q289" s="666"/>
      <c r="R289" s="666"/>
      <c r="S289" s="666"/>
      <c r="T289" s="666"/>
      <c r="U289" s="666"/>
      <c r="V289" s="666"/>
      <c r="W289" s="666"/>
      <c r="X289" s="666"/>
      <c r="Y289" s="666"/>
      <c r="Z289" s="666"/>
      <c r="AA289" s="666"/>
      <c r="AB289" s="666"/>
      <c r="AC289" s="666"/>
      <c r="AD289" s="666"/>
      <c r="AE289" s="666"/>
      <c r="AF289" s="666"/>
      <c r="AG289" s="666"/>
      <c r="AH289" s="666"/>
      <c r="AI289" s="666"/>
      <c r="AJ289" s="666"/>
      <c r="AK289" s="666"/>
      <c r="AL289" s="666"/>
      <c r="AM289" s="666"/>
      <c r="AN289" s="666"/>
      <c r="AO289" s="666"/>
      <c r="AP289" s="666"/>
      <c r="AQ289" s="666"/>
      <c r="AR289" s="666"/>
      <c r="AS289" s="666"/>
      <c r="AT289" s="666"/>
      <c r="AU289" s="666"/>
      <c r="AV289" s="666"/>
      <c r="AW289" s="666"/>
      <c r="AX289" s="666"/>
      <c r="AY289" s="666"/>
      <c r="AZ289" s="666"/>
    </row>
    <row r="290" spans="1:52" x14ac:dyDescent="0.2">
      <c r="A290" s="666"/>
      <c r="B290" s="666"/>
      <c r="C290" s="666"/>
      <c r="D290" s="677"/>
      <c r="E290" s="678"/>
      <c r="F290" s="679"/>
      <c r="G290" s="679"/>
      <c r="H290" s="678"/>
      <c r="I290" s="678"/>
      <c r="J290" s="678"/>
      <c r="K290" s="678"/>
      <c r="L290" s="678"/>
      <c r="M290" s="680"/>
      <c r="N290" s="680"/>
      <c r="O290" s="666"/>
      <c r="P290" s="666"/>
      <c r="Q290" s="666"/>
      <c r="R290" s="666"/>
      <c r="S290" s="666"/>
      <c r="T290" s="666"/>
      <c r="U290" s="666"/>
      <c r="V290" s="666"/>
      <c r="W290" s="666"/>
      <c r="X290" s="666"/>
      <c r="Y290" s="666"/>
      <c r="Z290" s="666"/>
      <c r="AA290" s="666"/>
      <c r="AB290" s="666"/>
      <c r="AC290" s="666"/>
      <c r="AD290" s="666"/>
      <c r="AE290" s="666"/>
      <c r="AF290" s="666"/>
      <c r="AG290" s="666"/>
      <c r="AH290" s="666"/>
      <c r="AI290" s="666"/>
      <c r="AJ290" s="666"/>
      <c r="AK290" s="666"/>
      <c r="AL290" s="666"/>
      <c r="AM290" s="666"/>
      <c r="AN290" s="666"/>
      <c r="AO290" s="666"/>
      <c r="AP290" s="666"/>
      <c r="AQ290" s="666"/>
      <c r="AR290" s="666"/>
      <c r="AS290" s="666"/>
      <c r="AT290" s="666"/>
      <c r="AU290" s="666"/>
      <c r="AV290" s="666"/>
      <c r="AW290" s="666"/>
      <c r="AX290" s="666"/>
      <c r="AY290" s="666"/>
      <c r="AZ290" s="666"/>
    </row>
    <row r="291" spans="1:52" x14ac:dyDescent="0.2">
      <c r="A291" s="666"/>
      <c r="B291" s="666"/>
      <c r="C291" s="666"/>
      <c r="D291" s="677"/>
      <c r="E291" s="678"/>
      <c r="F291" s="679"/>
      <c r="G291" s="679"/>
      <c r="H291" s="678"/>
      <c r="I291" s="678"/>
      <c r="J291" s="678"/>
      <c r="K291" s="678"/>
      <c r="L291" s="678"/>
      <c r="M291" s="680"/>
      <c r="N291" s="680"/>
      <c r="O291" s="666"/>
      <c r="P291" s="666"/>
      <c r="Q291" s="666"/>
      <c r="R291" s="666"/>
      <c r="S291" s="666"/>
      <c r="T291" s="666"/>
      <c r="U291" s="666"/>
      <c r="V291" s="666"/>
      <c r="W291" s="666"/>
      <c r="X291" s="666"/>
      <c r="Y291" s="666"/>
      <c r="Z291" s="666"/>
      <c r="AA291" s="666"/>
      <c r="AB291" s="666"/>
      <c r="AC291" s="666"/>
      <c r="AD291" s="666"/>
      <c r="AE291" s="666"/>
      <c r="AF291" s="666"/>
      <c r="AG291" s="666"/>
      <c r="AH291" s="666"/>
      <c r="AI291" s="666"/>
      <c r="AJ291" s="666"/>
      <c r="AK291" s="666"/>
      <c r="AL291" s="666"/>
      <c r="AM291" s="666"/>
      <c r="AN291" s="666"/>
      <c r="AO291" s="666"/>
      <c r="AP291" s="666"/>
      <c r="AQ291" s="666"/>
      <c r="AR291" s="666"/>
      <c r="AS291" s="666"/>
      <c r="AT291" s="666"/>
      <c r="AU291" s="666"/>
      <c r="AV291" s="666"/>
      <c r="AW291" s="666"/>
      <c r="AX291" s="666"/>
      <c r="AY291" s="666"/>
      <c r="AZ291" s="666"/>
    </row>
    <row r="292" spans="1:52" x14ac:dyDescent="0.2">
      <c r="A292" s="666"/>
      <c r="B292" s="666"/>
      <c r="C292" s="666"/>
      <c r="D292" s="677"/>
      <c r="E292" s="678"/>
      <c r="F292" s="679"/>
      <c r="G292" s="679"/>
      <c r="H292" s="678"/>
      <c r="I292" s="678"/>
      <c r="J292" s="678"/>
      <c r="K292" s="678"/>
      <c r="L292" s="678"/>
      <c r="M292" s="680"/>
      <c r="N292" s="680"/>
      <c r="O292" s="666"/>
      <c r="P292" s="666"/>
      <c r="Q292" s="666"/>
      <c r="R292" s="666"/>
      <c r="S292" s="666"/>
      <c r="T292" s="666"/>
      <c r="U292" s="666"/>
      <c r="V292" s="666"/>
      <c r="W292" s="666"/>
      <c r="X292" s="666"/>
      <c r="Y292" s="666"/>
      <c r="Z292" s="666"/>
      <c r="AA292" s="666"/>
      <c r="AB292" s="666"/>
      <c r="AC292" s="666"/>
      <c r="AD292" s="666"/>
      <c r="AE292" s="666"/>
      <c r="AF292" s="666"/>
      <c r="AG292" s="666"/>
      <c r="AH292" s="666"/>
      <c r="AI292" s="666"/>
      <c r="AJ292" s="666"/>
      <c r="AK292" s="666"/>
      <c r="AL292" s="666"/>
      <c r="AM292" s="666"/>
      <c r="AN292" s="666"/>
      <c r="AO292" s="666"/>
      <c r="AP292" s="666"/>
      <c r="AQ292" s="666"/>
      <c r="AR292" s="666"/>
      <c r="AS292" s="666"/>
      <c r="AT292" s="666"/>
      <c r="AU292" s="666"/>
      <c r="AV292" s="666"/>
      <c r="AW292" s="666"/>
      <c r="AX292" s="666"/>
      <c r="AY292" s="666"/>
      <c r="AZ292" s="666"/>
    </row>
    <row r="293" spans="1:52" x14ac:dyDescent="0.2">
      <c r="A293" s="666"/>
      <c r="B293" s="666"/>
      <c r="C293" s="666"/>
      <c r="D293" s="677"/>
      <c r="E293" s="678"/>
      <c r="F293" s="679"/>
      <c r="G293" s="679"/>
      <c r="H293" s="678"/>
      <c r="I293" s="678"/>
      <c r="J293" s="678"/>
      <c r="K293" s="678"/>
      <c r="L293" s="678"/>
      <c r="M293" s="680"/>
      <c r="N293" s="680"/>
      <c r="O293" s="666"/>
      <c r="P293" s="666"/>
      <c r="Q293" s="666"/>
      <c r="R293" s="666"/>
      <c r="S293" s="666"/>
      <c r="T293" s="666"/>
      <c r="U293" s="666"/>
      <c r="V293" s="666"/>
      <c r="W293" s="666"/>
      <c r="X293" s="666"/>
      <c r="Y293" s="666"/>
      <c r="Z293" s="666"/>
      <c r="AA293" s="666"/>
      <c r="AB293" s="666"/>
      <c r="AC293" s="666"/>
      <c r="AD293" s="666"/>
      <c r="AE293" s="666"/>
      <c r="AF293" s="666"/>
      <c r="AG293" s="666"/>
      <c r="AH293" s="666"/>
      <c r="AI293" s="666"/>
      <c r="AJ293" s="666"/>
      <c r="AK293" s="666"/>
      <c r="AL293" s="666"/>
      <c r="AM293" s="666"/>
      <c r="AN293" s="666"/>
      <c r="AO293" s="666"/>
      <c r="AP293" s="666"/>
      <c r="AQ293" s="666"/>
      <c r="AR293" s="666"/>
      <c r="AS293" s="666"/>
      <c r="AT293" s="666"/>
      <c r="AU293" s="666"/>
      <c r="AV293" s="666"/>
      <c r="AW293" s="666"/>
      <c r="AX293" s="666"/>
      <c r="AY293" s="666"/>
      <c r="AZ293" s="666"/>
    </row>
    <row r="294" spans="1:52" x14ac:dyDescent="0.2">
      <c r="A294" s="666"/>
      <c r="B294" s="666"/>
      <c r="C294" s="666"/>
      <c r="D294" s="677"/>
      <c r="E294" s="678"/>
      <c r="F294" s="679"/>
      <c r="G294" s="679"/>
      <c r="H294" s="678"/>
      <c r="I294" s="678"/>
      <c r="J294" s="678"/>
      <c r="K294" s="678"/>
      <c r="L294" s="678"/>
      <c r="M294" s="680"/>
      <c r="N294" s="680"/>
      <c r="O294" s="666"/>
      <c r="P294" s="666"/>
      <c r="Q294" s="666"/>
      <c r="R294" s="666"/>
      <c r="S294" s="666"/>
      <c r="T294" s="666"/>
      <c r="U294" s="666"/>
      <c r="V294" s="666"/>
      <c r="W294" s="666"/>
      <c r="X294" s="666"/>
      <c r="Y294" s="666"/>
      <c r="Z294" s="666"/>
      <c r="AA294" s="666"/>
      <c r="AB294" s="666"/>
      <c r="AC294" s="666"/>
      <c r="AD294" s="666"/>
      <c r="AE294" s="666"/>
      <c r="AF294" s="666"/>
      <c r="AG294" s="666"/>
      <c r="AH294" s="666"/>
      <c r="AI294" s="666"/>
      <c r="AJ294" s="666"/>
      <c r="AK294" s="666"/>
      <c r="AL294" s="666"/>
      <c r="AM294" s="666"/>
      <c r="AN294" s="666"/>
      <c r="AO294" s="666"/>
      <c r="AP294" s="666"/>
      <c r="AQ294" s="666"/>
      <c r="AR294" s="666"/>
      <c r="AS294" s="666"/>
      <c r="AT294" s="666"/>
      <c r="AU294" s="666"/>
      <c r="AV294" s="666"/>
      <c r="AW294" s="666"/>
      <c r="AX294" s="666"/>
      <c r="AY294" s="666"/>
      <c r="AZ294" s="666"/>
    </row>
    <row r="295" spans="1:52" x14ac:dyDescent="0.2">
      <c r="A295" s="666"/>
      <c r="B295" s="666"/>
      <c r="C295" s="666"/>
      <c r="D295" s="677"/>
      <c r="E295" s="678"/>
      <c r="F295" s="679"/>
      <c r="G295" s="679"/>
      <c r="H295" s="678"/>
      <c r="I295" s="678"/>
      <c r="J295" s="678"/>
      <c r="K295" s="678"/>
      <c r="L295" s="678"/>
      <c r="M295" s="680"/>
      <c r="N295" s="680"/>
      <c r="O295" s="666"/>
      <c r="P295" s="666"/>
      <c r="Q295" s="666"/>
      <c r="R295" s="666"/>
      <c r="S295" s="666"/>
      <c r="T295" s="666"/>
      <c r="U295" s="666"/>
      <c r="V295" s="666"/>
      <c r="W295" s="666"/>
      <c r="X295" s="666"/>
      <c r="Y295" s="666"/>
      <c r="Z295" s="666"/>
      <c r="AA295" s="666"/>
      <c r="AB295" s="666"/>
      <c r="AC295" s="666"/>
      <c r="AD295" s="666"/>
      <c r="AE295" s="666"/>
      <c r="AF295" s="666"/>
      <c r="AG295" s="666"/>
      <c r="AH295" s="666"/>
      <c r="AI295" s="666"/>
      <c r="AJ295" s="666"/>
      <c r="AK295" s="666"/>
      <c r="AL295" s="666"/>
      <c r="AM295" s="666"/>
      <c r="AN295" s="666"/>
      <c r="AO295" s="666"/>
      <c r="AP295" s="666"/>
      <c r="AQ295" s="666"/>
      <c r="AR295" s="666"/>
      <c r="AS295" s="666"/>
      <c r="AT295" s="666"/>
      <c r="AU295" s="666"/>
      <c r="AV295" s="666"/>
      <c r="AW295" s="666"/>
      <c r="AX295" s="666"/>
      <c r="AY295" s="666"/>
      <c r="AZ295" s="666"/>
    </row>
    <row r="296" spans="1:52" x14ac:dyDescent="0.2">
      <c r="A296" s="666"/>
      <c r="B296" s="666"/>
      <c r="C296" s="666"/>
      <c r="D296" s="677"/>
      <c r="E296" s="678"/>
      <c r="F296" s="679"/>
      <c r="G296" s="679"/>
      <c r="H296" s="678"/>
      <c r="I296" s="678"/>
      <c r="J296" s="678"/>
      <c r="K296" s="678"/>
      <c r="L296" s="678"/>
      <c r="M296" s="680"/>
      <c r="N296" s="680"/>
      <c r="O296" s="666"/>
      <c r="P296" s="666"/>
      <c r="Q296" s="666"/>
      <c r="R296" s="666"/>
      <c r="S296" s="666"/>
      <c r="T296" s="666"/>
      <c r="U296" s="666"/>
      <c r="V296" s="666"/>
      <c r="W296" s="666"/>
      <c r="X296" s="666"/>
      <c r="Y296" s="666"/>
      <c r="Z296" s="666"/>
      <c r="AA296" s="666"/>
      <c r="AB296" s="666"/>
      <c r="AC296" s="666"/>
      <c r="AD296" s="666"/>
      <c r="AE296" s="666"/>
      <c r="AF296" s="666"/>
      <c r="AG296" s="666"/>
      <c r="AH296" s="666"/>
      <c r="AI296" s="666"/>
      <c r="AJ296" s="666"/>
      <c r="AK296" s="666"/>
      <c r="AL296" s="666"/>
      <c r="AM296" s="666"/>
      <c r="AN296" s="666"/>
      <c r="AO296" s="666"/>
      <c r="AP296" s="666"/>
      <c r="AQ296" s="666"/>
      <c r="AR296" s="666"/>
      <c r="AS296" s="666"/>
      <c r="AT296" s="666"/>
      <c r="AU296" s="666"/>
      <c r="AV296" s="666"/>
      <c r="AW296" s="666"/>
      <c r="AX296" s="666"/>
      <c r="AY296" s="666"/>
      <c r="AZ296" s="666"/>
    </row>
    <row r="297" spans="1:52" x14ac:dyDescent="0.2">
      <c r="A297" s="666"/>
      <c r="B297" s="666"/>
      <c r="C297" s="666"/>
      <c r="D297" s="677"/>
      <c r="E297" s="678"/>
      <c r="F297" s="679"/>
      <c r="G297" s="679"/>
      <c r="H297" s="678"/>
      <c r="I297" s="678"/>
      <c r="J297" s="678"/>
      <c r="K297" s="678"/>
      <c r="L297" s="678"/>
      <c r="M297" s="680"/>
      <c r="N297" s="680"/>
      <c r="O297" s="666"/>
      <c r="P297" s="666"/>
      <c r="Q297" s="666"/>
      <c r="R297" s="666"/>
      <c r="S297" s="666"/>
      <c r="T297" s="666"/>
      <c r="U297" s="666"/>
      <c r="V297" s="666"/>
      <c r="W297" s="666"/>
      <c r="X297" s="666"/>
      <c r="Y297" s="666"/>
      <c r="Z297" s="666"/>
      <c r="AA297" s="666"/>
      <c r="AB297" s="666"/>
      <c r="AC297" s="666"/>
      <c r="AD297" s="666"/>
      <c r="AE297" s="666"/>
      <c r="AF297" s="666"/>
      <c r="AG297" s="666"/>
      <c r="AH297" s="666"/>
      <c r="AI297" s="666"/>
      <c r="AJ297" s="666"/>
      <c r="AK297" s="666"/>
      <c r="AL297" s="666"/>
      <c r="AM297" s="666"/>
      <c r="AN297" s="666"/>
      <c r="AO297" s="666"/>
      <c r="AP297" s="666"/>
      <c r="AQ297" s="666"/>
      <c r="AR297" s="666"/>
      <c r="AS297" s="666"/>
      <c r="AT297" s="666"/>
      <c r="AU297" s="666"/>
      <c r="AV297" s="666"/>
      <c r="AW297" s="666"/>
      <c r="AX297" s="666"/>
      <c r="AY297" s="666"/>
      <c r="AZ297" s="666"/>
    </row>
    <row r="298" spans="1:52" x14ac:dyDescent="0.2">
      <c r="A298" s="666"/>
      <c r="B298" s="666"/>
      <c r="C298" s="666"/>
      <c r="D298" s="677"/>
      <c r="E298" s="678"/>
      <c r="F298" s="679"/>
      <c r="G298" s="679"/>
      <c r="H298" s="678"/>
      <c r="I298" s="678"/>
      <c r="J298" s="678"/>
      <c r="K298" s="678"/>
      <c r="L298" s="678"/>
      <c r="M298" s="680"/>
      <c r="N298" s="680"/>
      <c r="O298" s="666"/>
      <c r="P298" s="666"/>
      <c r="Q298" s="666"/>
      <c r="R298" s="666"/>
      <c r="S298" s="666"/>
      <c r="T298" s="666"/>
      <c r="U298" s="666"/>
      <c r="V298" s="666"/>
      <c r="W298" s="666"/>
      <c r="X298" s="666"/>
      <c r="Y298" s="666"/>
      <c r="Z298" s="666"/>
      <c r="AA298" s="666"/>
      <c r="AB298" s="666"/>
      <c r="AC298" s="666"/>
      <c r="AD298" s="666"/>
      <c r="AE298" s="666"/>
      <c r="AF298" s="666"/>
      <c r="AG298" s="666"/>
      <c r="AH298" s="666"/>
      <c r="AI298" s="666"/>
      <c r="AJ298" s="666"/>
      <c r="AK298" s="666"/>
      <c r="AL298" s="666"/>
      <c r="AM298" s="666"/>
      <c r="AN298" s="666"/>
      <c r="AO298" s="666"/>
      <c r="AP298" s="666"/>
      <c r="AQ298" s="666"/>
      <c r="AR298" s="666"/>
      <c r="AS298" s="666"/>
      <c r="AT298" s="666"/>
      <c r="AU298" s="666"/>
      <c r="AV298" s="666"/>
      <c r="AW298" s="666"/>
      <c r="AX298" s="666"/>
      <c r="AY298" s="666"/>
      <c r="AZ298" s="666"/>
    </row>
    <row r="299" spans="1:52" x14ac:dyDescent="0.2">
      <c r="A299" s="666"/>
      <c r="B299" s="666"/>
      <c r="C299" s="666"/>
      <c r="D299" s="677"/>
      <c r="E299" s="678"/>
      <c r="F299" s="679"/>
      <c r="G299" s="679"/>
      <c r="H299" s="678"/>
      <c r="I299" s="678"/>
      <c r="J299" s="678"/>
      <c r="K299" s="678"/>
      <c r="L299" s="678"/>
      <c r="M299" s="680"/>
      <c r="N299" s="680"/>
      <c r="O299" s="666"/>
      <c r="P299" s="666"/>
      <c r="Q299" s="666"/>
      <c r="R299" s="666"/>
      <c r="S299" s="666"/>
      <c r="T299" s="666"/>
      <c r="U299" s="666"/>
      <c r="V299" s="666"/>
      <c r="W299" s="666"/>
      <c r="X299" s="666"/>
      <c r="Y299" s="666"/>
      <c r="Z299" s="666"/>
      <c r="AA299" s="666"/>
      <c r="AB299" s="666"/>
      <c r="AC299" s="666"/>
      <c r="AD299" s="666"/>
      <c r="AE299" s="666"/>
      <c r="AF299" s="666"/>
      <c r="AG299" s="666"/>
      <c r="AH299" s="666"/>
      <c r="AI299" s="666"/>
      <c r="AJ299" s="666"/>
      <c r="AK299" s="666"/>
      <c r="AL299" s="666"/>
      <c r="AM299" s="666"/>
      <c r="AN299" s="666"/>
      <c r="AO299" s="666"/>
      <c r="AP299" s="666"/>
      <c r="AQ299" s="666"/>
      <c r="AR299" s="666"/>
      <c r="AS299" s="666"/>
      <c r="AT299" s="666"/>
      <c r="AU299" s="666"/>
      <c r="AV299" s="666"/>
      <c r="AW299" s="666"/>
      <c r="AX299" s="666"/>
      <c r="AY299" s="666"/>
      <c r="AZ299" s="666"/>
    </row>
    <row r="300" spans="1:52" x14ac:dyDescent="0.2">
      <c r="A300" s="666"/>
      <c r="B300" s="666"/>
      <c r="C300" s="666"/>
      <c r="D300" s="677"/>
      <c r="E300" s="678"/>
      <c r="F300" s="679"/>
      <c r="G300" s="679"/>
      <c r="H300" s="678"/>
      <c r="I300" s="678"/>
      <c r="J300" s="678"/>
      <c r="K300" s="678"/>
      <c r="L300" s="678"/>
      <c r="M300" s="680"/>
      <c r="N300" s="680"/>
      <c r="O300" s="666"/>
      <c r="P300" s="666"/>
      <c r="Q300" s="666"/>
      <c r="R300" s="666"/>
      <c r="S300" s="666"/>
      <c r="T300" s="666"/>
      <c r="U300" s="666"/>
      <c r="V300" s="666"/>
      <c r="W300" s="666"/>
      <c r="X300" s="666"/>
      <c r="Y300" s="666"/>
      <c r="Z300" s="666"/>
      <c r="AA300" s="666"/>
      <c r="AB300" s="666"/>
      <c r="AC300" s="666"/>
      <c r="AD300" s="666"/>
      <c r="AE300" s="666"/>
      <c r="AF300" s="666"/>
      <c r="AG300" s="666"/>
      <c r="AH300" s="666"/>
      <c r="AI300" s="666"/>
      <c r="AJ300" s="666"/>
      <c r="AK300" s="666"/>
      <c r="AL300" s="666"/>
      <c r="AM300" s="666"/>
      <c r="AN300" s="666"/>
      <c r="AO300" s="666"/>
      <c r="AP300" s="666"/>
      <c r="AQ300" s="666"/>
      <c r="AR300" s="666"/>
      <c r="AS300" s="666"/>
      <c r="AT300" s="666"/>
      <c r="AU300" s="666"/>
      <c r="AV300" s="666"/>
      <c r="AW300" s="666"/>
      <c r="AX300" s="666"/>
      <c r="AY300" s="666"/>
      <c r="AZ300" s="666"/>
    </row>
    <row r="301" spans="1:52" x14ac:dyDescent="0.2">
      <c r="A301" s="666"/>
      <c r="B301" s="666"/>
      <c r="C301" s="666"/>
      <c r="D301" s="677"/>
      <c r="E301" s="678"/>
      <c r="F301" s="679"/>
      <c r="G301" s="679"/>
      <c r="H301" s="678"/>
      <c r="I301" s="678"/>
      <c r="J301" s="678"/>
      <c r="K301" s="678"/>
      <c r="L301" s="678"/>
      <c r="M301" s="680"/>
      <c r="N301" s="680"/>
      <c r="O301" s="666"/>
      <c r="P301" s="666"/>
      <c r="Q301" s="666"/>
      <c r="R301" s="666"/>
      <c r="S301" s="666"/>
      <c r="T301" s="666"/>
      <c r="U301" s="666"/>
      <c r="V301" s="666"/>
      <c r="W301" s="666"/>
      <c r="X301" s="666"/>
      <c r="Y301" s="666"/>
      <c r="Z301" s="666"/>
      <c r="AA301" s="666"/>
      <c r="AB301" s="666"/>
      <c r="AC301" s="666"/>
      <c r="AD301" s="666"/>
      <c r="AE301" s="666"/>
      <c r="AF301" s="666"/>
      <c r="AG301" s="666"/>
      <c r="AH301" s="666"/>
      <c r="AI301" s="666"/>
      <c r="AJ301" s="666"/>
      <c r="AK301" s="666"/>
      <c r="AL301" s="666"/>
      <c r="AM301" s="666"/>
      <c r="AN301" s="666"/>
      <c r="AO301" s="666"/>
      <c r="AP301" s="666"/>
      <c r="AQ301" s="666"/>
      <c r="AR301" s="666"/>
      <c r="AS301" s="666"/>
      <c r="AT301" s="666"/>
      <c r="AU301" s="666"/>
      <c r="AV301" s="666"/>
      <c r="AW301" s="666"/>
      <c r="AX301" s="666"/>
      <c r="AY301" s="666"/>
      <c r="AZ301" s="666"/>
    </row>
    <row r="302" spans="1:52" x14ac:dyDescent="0.2">
      <c r="A302" s="666"/>
      <c r="B302" s="666"/>
      <c r="C302" s="666"/>
      <c r="D302" s="677"/>
      <c r="E302" s="678"/>
      <c r="F302" s="679"/>
      <c r="G302" s="679"/>
      <c r="H302" s="678"/>
      <c r="I302" s="678"/>
      <c r="J302" s="678"/>
      <c r="K302" s="678"/>
      <c r="L302" s="678"/>
      <c r="M302" s="680"/>
      <c r="N302" s="680"/>
      <c r="O302" s="666"/>
      <c r="P302" s="666"/>
      <c r="Q302" s="666"/>
      <c r="R302" s="666"/>
      <c r="S302" s="666"/>
      <c r="T302" s="666"/>
      <c r="U302" s="666"/>
      <c r="V302" s="666"/>
      <c r="W302" s="666"/>
      <c r="X302" s="666"/>
      <c r="Y302" s="666"/>
      <c r="Z302" s="666"/>
      <c r="AA302" s="666"/>
      <c r="AB302" s="666"/>
      <c r="AC302" s="666"/>
      <c r="AD302" s="666"/>
      <c r="AE302" s="666"/>
      <c r="AF302" s="666"/>
      <c r="AG302" s="666"/>
      <c r="AH302" s="666"/>
      <c r="AI302" s="666"/>
      <c r="AJ302" s="666"/>
      <c r="AK302" s="666"/>
      <c r="AL302" s="666"/>
      <c r="AM302" s="666"/>
      <c r="AN302" s="666"/>
      <c r="AO302" s="666"/>
      <c r="AP302" s="666"/>
      <c r="AQ302" s="666"/>
      <c r="AR302" s="666"/>
      <c r="AS302" s="666"/>
      <c r="AT302" s="666"/>
      <c r="AU302" s="666"/>
      <c r="AV302" s="666"/>
      <c r="AW302" s="666"/>
      <c r="AX302" s="666"/>
      <c r="AY302" s="666"/>
      <c r="AZ302" s="666"/>
    </row>
    <row r="303" spans="1:52" x14ac:dyDescent="0.2">
      <c r="A303" s="666"/>
      <c r="B303" s="666"/>
      <c r="C303" s="666"/>
      <c r="D303" s="677"/>
      <c r="E303" s="678"/>
      <c r="F303" s="679"/>
      <c r="G303" s="679"/>
      <c r="H303" s="678"/>
      <c r="I303" s="678"/>
      <c r="J303" s="678"/>
      <c r="K303" s="678"/>
      <c r="L303" s="678"/>
      <c r="M303" s="680"/>
      <c r="N303" s="680"/>
      <c r="O303" s="666"/>
      <c r="P303" s="666"/>
      <c r="Q303" s="666"/>
      <c r="R303" s="666"/>
      <c r="S303" s="666"/>
      <c r="T303" s="666"/>
      <c r="U303" s="666"/>
      <c r="V303" s="666"/>
      <c r="W303" s="666"/>
      <c r="X303" s="666"/>
      <c r="Y303" s="666"/>
      <c r="Z303" s="666"/>
      <c r="AA303" s="666"/>
      <c r="AB303" s="666"/>
      <c r="AC303" s="666"/>
      <c r="AD303" s="666"/>
      <c r="AE303" s="666"/>
      <c r="AF303" s="666"/>
      <c r="AG303" s="666"/>
      <c r="AH303" s="666"/>
      <c r="AI303" s="666"/>
      <c r="AJ303" s="666"/>
      <c r="AK303" s="666"/>
      <c r="AL303" s="666"/>
      <c r="AM303" s="666"/>
      <c r="AN303" s="666"/>
      <c r="AO303" s="666"/>
      <c r="AP303" s="666"/>
      <c r="AQ303" s="666"/>
      <c r="AR303" s="666"/>
      <c r="AS303" s="666"/>
      <c r="AT303" s="666"/>
      <c r="AU303" s="666"/>
      <c r="AV303" s="666"/>
      <c r="AW303" s="666"/>
      <c r="AX303" s="666"/>
      <c r="AY303" s="666"/>
      <c r="AZ303" s="666"/>
    </row>
    <row r="304" spans="1:52" x14ac:dyDescent="0.2">
      <c r="A304" s="666"/>
      <c r="B304" s="666"/>
      <c r="C304" s="666"/>
      <c r="D304" s="677"/>
      <c r="E304" s="678"/>
      <c r="F304" s="679"/>
      <c r="G304" s="679"/>
      <c r="H304" s="678"/>
      <c r="I304" s="678"/>
      <c r="J304" s="678"/>
      <c r="K304" s="678"/>
      <c r="L304" s="678"/>
      <c r="M304" s="680"/>
      <c r="N304" s="680"/>
      <c r="O304" s="666"/>
      <c r="P304" s="666"/>
      <c r="Q304" s="666"/>
      <c r="R304" s="666"/>
      <c r="S304" s="666"/>
      <c r="T304" s="666"/>
      <c r="U304" s="666"/>
      <c r="V304" s="666"/>
      <c r="W304" s="666"/>
      <c r="X304" s="666"/>
      <c r="Y304" s="666"/>
      <c r="Z304" s="666"/>
      <c r="AA304" s="666"/>
      <c r="AB304" s="666"/>
      <c r="AC304" s="666"/>
      <c r="AD304" s="666"/>
      <c r="AE304" s="666"/>
      <c r="AF304" s="666"/>
      <c r="AG304" s="666"/>
      <c r="AH304" s="666"/>
      <c r="AI304" s="666"/>
      <c r="AJ304" s="666"/>
      <c r="AK304" s="666"/>
      <c r="AL304" s="666"/>
      <c r="AM304" s="666"/>
      <c r="AN304" s="666"/>
      <c r="AO304" s="666"/>
      <c r="AP304" s="666"/>
      <c r="AQ304" s="666"/>
      <c r="AR304" s="666"/>
      <c r="AS304" s="666"/>
      <c r="AT304" s="666"/>
      <c r="AU304" s="666"/>
      <c r="AV304" s="666"/>
      <c r="AW304" s="666"/>
      <c r="AX304" s="666"/>
      <c r="AY304" s="666"/>
      <c r="AZ304" s="666"/>
    </row>
    <row r="305" spans="1:52" x14ac:dyDescent="0.2">
      <c r="A305" s="666"/>
      <c r="B305" s="666"/>
      <c r="C305" s="666"/>
      <c r="D305" s="677"/>
      <c r="E305" s="678"/>
      <c r="F305" s="679"/>
      <c r="G305" s="679"/>
      <c r="H305" s="678"/>
      <c r="I305" s="678"/>
      <c r="J305" s="678"/>
      <c r="K305" s="678"/>
      <c r="L305" s="678"/>
      <c r="M305" s="680"/>
      <c r="N305" s="680"/>
      <c r="O305" s="666"/>
      <c r="P305" s="666"/>
      <c r="Q305" s="666"/>
      <c r="R305" s="666"/>
      <c r="S305" s="666"/>
      <c r="T305" s="666"/>
      <c r="U305" s="666"/>
      <c r="V305" s="666"/>
      <c r="W305" s="666"/>
      <c r="X305" s="666"/>
      <c r="Y305" s="666"/>
      <c r="Z305" s="666"/>
      <c r="AA305" s="666"/>
      <c r="AB305" s="666"/>
      <c r="AC305" s="666"/>
      <c r="AD305" s="666"/>
      <c r="AE305" s="666"/>
      <c r="AF305" s="666"/>
      <c r="AG305" s="666"/>
      <c r="AH305" s="666"/>
      <c r="AI305" s="666"/>
      <c r="AJ305" s="666"/>
      <c r="AK305" s="666"/>
      <c r="AL305" s="666"/>
      <c r="AM305" s="666"/>
      <c r="AN305" s="666"/>
      <c r="AO305" s="666"/>
      <c r="AP305" s="666"/>
      <c r="AQ305" s="666"/>
      <c r="AR305" s="666"/>
      <c r="AS305" s="666"/>
      <c r="AT305" s="666"/>
      <c r="AU305" s="666"/>
      <c r="AV305" s="666"/>
      <c r="AW305" s="666"/>
      <c r="AX305" s="666"/>
      <c r="AY305" s="666"/>
      <c r="AZ305" s="666"/>
    </row>
    <row r="306" spans="1:52" x14ac:dyDescent="0.2">
      <c r="A306" s="666"/>
      <c r="B306" s="666"/>
      <c r="C306" s="666"/>
      <c r="D306" s="677"/>
      <c r="E306" s="678"/>
      <c r="F306" s="679"/>
      <c r="G306" s="679"/>
      <c r="H306" s="678"/>
      <c r="I306" s="678"/>
      <c r="J306" s="678"/>
      <c r="K306" s="678"/>
      <c r="L306" s="678"/>
      <c r="M306" s="680"/>
      <c r="N306" s="680"/>
      <c r="O306" s="666"/>
      <c r="P306" s="666"/>
      <c r="Q306" s="666"/>
      <c r="R306" s="666"/>
      <c r="S306" s="666"/>
      <c r="T306" s="666"/>
      <c r="U306" s="666"/>
      <c r="V306" s="666"/>
      <c r="W306" s="666"/>
      <c r="X306" s="666"/>
      <c r="Y306" s="666"/>
      <c r="Z306" s="666"/>
      <c r="AA306" s="666"/>
      <c r="AB306" s="666"/>
      <c r="AC306" s="666"/>
      <c r="AD306" s="666"/>
      <c r="AE306" s="666"/>
      <c r="AF306" s="666"/>
      <c r="AG306" s="666"/>
      <c r="AH306" s="666"/>
      <c r="AI306" s="666"/>
      <c r="AJ306" s="666"/>
      <c r="AK306" s="666"/>
      <c r="AL306" s="666"/>
      <c r="AM306" s="666"/>
      <c r="AN306" s="666"/>
      <c r="AO306" s="666"/>
      <c r="AP306" s="666"/>
      <c r="AQ306" s="666"/>
      <c r="AR306" s="666"/>
      <c r="AS306" s="666"/>
      <c r="AT306" s="666"/>
      <c r="AU306" s="666"/>
      <c r="AV306" s="666"/>
      <c r="AW306" s="666"/>
      <c r="AX306" s="666"/>
      <c r="AY306" s="666"/>
      <c r="AZ306" s="666"/>
    </row>
    <row r="307" spans="1:52" x14ac:dyDescent="0.2">
      <c r="A307" s="666"/>
      <c r="B307" s="666"/>
      <c r="C307" s="666"/>
      <c r="D307" s="677"/>
      <c r="E307" s="678"/>
      <c r="F307" s="679"/>
      <c r="G307" s="679"/>
      <c r="H307" s="678"/>
      <c r="I307" s="678"/>
      <c r="J307" s="678"/>
      <c r="K307" s="678"/>
      <c r="L307" s="678"/>
      <c r="M307" s="680"/>
      <c r="N307" s="680"/>
      <c r="O307" s="666"/>
      <c r="P307" s="666"/>
      <c r="Q307" s="666"/>
      <c r="R307" s="666"/>
      <c r="S307" s="666"/>
      <c r="T307" s="666"/>
      <c r="U307" s="666"/>
      <c r="V307" s="666"/>
      <c r="W307" s="666"/>
      <c r="X307" s="666"/>
      <c r="Y307" s="666"/>
      <c r="Z307" s="666"/>
      <c r="AA307" s="666"/>
      <c r="AB307" s="666"/>
      <c r="AC307" s="666"/>
      <c r="AD307" s="666"/>
      <c r="AE307" s="666"/>
      <c r="AF307" s="666"/>
      <c r="AG307" s="666"/>
      <c r="AH307" s="666"/>
      <c r="AI307" s="666"/>
      <c r="AJ307" s="666"/>
      <c r="AK307" s="666"/>
      <c r="AL307" s="666"/>
      <c r="AM307" s="666"/>
      <c r="AN307" s="666"/>
      <c r="AO307" s="666"/>
      <c r="AP307" s="666"/>
      <c r="AQ307" s="666"/>
      <c r="AR307" s="666"/>
      <c r="AS307" s="666"/>
      <c r="AT307" s="666"/>
      <c r="AU307" s="666"/>
      <c r="AV307" s="666"/>
      <c r="AW307" s="666"/>
      <c r="AX307" s="666"/>
      <c r="AY307" s="666"/>
      <c r="AZ307" s="666"/>
    </row>
    <row r="308" spans="1:52" x14ac:dyDescent="0.2">
      <c r="A308" s="666"/>
      <c r="B308" s="666"/>
      <c r="C308" s="666"/>
      <c r="D308" s="677"/>
      <c r="E308" s="678"/>
      <c r="F308" s="679"/>
      <c r="G308" s="679"/>
      <c r="H308" s="678"/>
      <c r="I308" s="678"/>
      <c r="J308" s="678"/>
      <c r="K308" s="678"/>
      <c r="L308" s="678"/>
      <c r="M308" s="680"/>
      <c r="N308" s="680"/>
      <c r="O308" s="666"/>
      <c r="P308" s="666"/>
      <c r="Q308" s="666"/>
      <c r="R308" s="666"/>
      <c r="S308" s="666"/>
      <c r="T308" s="666"/>
      <c r="U308" s="666"/>
      <c r="V308" s="666"/>
      <c r="W308" s="666"/>
      <c r="X308" s="666"/>
      <c r="Y308" s="666"/>
      <c r="Z308" s="666"/>
      <c r="AA308" s="666"/>
      <c r="AB308" s="666"/>
      <c r="AC308" s="666"/>
      <c r="AD308" s="666"/>
      <c r="AE308" s="666"/>
      <c r="AF308" s="666"/>
      <c r="AG308" s="666"/>
      <c r="AH308" s="666"/>
      <c r="AI308" s="666"/>
      <c r="AJ308" s="666"/>
      <c r="AK308" s="666"/>
      <c r="AL308" s="666"/>
      <c r="AM308" s="666"/>
      <c r="AN308" s="666"/>
      <c r="AO308" s="666"/>
      <c r="AP308" s="666"/>
      <c r="AQ308" s="666"/>
      <c r="AR308" s="666"/>
      <c r="AS308" s="666"/>
      <c r="AT308" s="666"/>
      <c r="AU308" s="666"/>
      <c r="AV308" s="666"/>
      <c r="AW308" s="666"/>
      <c r="AX308" s="666"/>
      <c r="AY308" s="666"/>
      <c r="AZ308" s="666"/>
    </row>
    <row r="309" spans="1:52" x14ac:dyDescent="0.2">
      <c r="A309" s="666"/>
      <c r="B309" s="666"/>
      <c r="C309" s="666"/>
      <c r="D309" s="677"/>
      <c r="E309" s="678"/>
      <c r="F309" s="679"/>
      <c r="G309" s="679"/>
      <c r="H309" s="678"/>
      <c r="I309" s="678"/>
      <c r="J309" s="678"/>
      <c r="K309" s="678"/>
      <c r="L309" s="678"/>
      <c r="M309" s="680"/>
      <c r="N309" s="680"/>
      <c r="O309" s="666"/>
      <c r="P309" s="666"/>
      <c r="Q309" s="666"/>
      <c r="R309" s="666"/>
      <c r="S309" s="666"/>
      <c r="T309" s="666"/>
      <c r="U309" s="666"/>
      <c r="V309" s="666"/>
      <c r="W309" s="666"/>
      <c r="X309" s="666"/>
      <c r="Y309" s="666"/>
      <c r="Z309" s="666"/>
      <c r="AA309" s="666"/>
      <c r="AB309" s="666"/>
      <c r="AC309" s="666"/>
      <c r="AD309" s="666"/>
      <c r="AE309" s="666"/>
      <c r="AF309" s="666"/>
      <c r="AG309" s="666"/>
      <c r="AH309" s="666"/>
      <c r="AI309" s="666"/>
      <c r="AJ309" s="666"/>
      <c r="AK309" s="666"/>
      <c r="AL309" s="666"/>
      <c r="AM309" s="666"/>
      <c r="AN309" s="666"/>
      <c r="AO309" s="666"/>
      <c r="AP309" s="666"/>
      <c r="AQ309" s="666"/>
      <c r="AR309" s="666"/>
      <c r="AS309" s="666"/>
      <c r="AT309" s="666"/>
      <c r="AU309" s="666"/>
      <c r="AV309" s="666"/>
      <c r="AW309" s="666"/>
      <c r="AX309" s="666"/>
      <c r="AY309" s="666"/>
      <c r="AZ309" s="666"/>
    </row>
    <row r="310" spans="1:52" x14ac:dyDescent="0.2">
      <c r="A310" s="666"/>
      <c r="B310" s="666"/>
      <c r="C310" s="666"/>
      <c r="D310" s="677"/>
      <c r="E310" s="678"/>
      <c r="F310" s="679"/>
      <c r="G310" s="679"/>
      <c r="H310" s="678"/>
      <c r="I310" s="678"/>
      <c r="J310" s="678"/>
      <c r="K310" s="678"/>
      <c r="L310" s="678"/>
      <c r="M310" s="680"/>
      <c r="N310" s="680"/>
      <c r="O310" s="666"/>
      <c r="P310" s="666"/>
      <c r="Q310" s="666"/>
      <c r="R310" s="666"/>
      <c r="S310" s="666"/>
      <c r="T310" s="666"/>
      <c r="U310" s="666"/>
      <c r="V310" s="666"/>
      <c r="W310" s="666"/>
      <c r="X310" s="666"/>
      <c r="Y310" s="666"/>
      <c r="Z310" s="666"/>
      <c r="AA310" s="666"/>
      <c r="AB310" s="666"/>
      <c r="AC310" s="666"/>
      <c r="AD310" s="666"/>
      <c r="AE310" s="666"/>
      <c r="AF310" s="666"/>
      <c r="AG310" s="666"/>
      <c r="AH310" s="666"/>
      <c r="AI310" s="666"/>
      <c r="AJ310" s="666"/>
      <c r="AK310" s="666"/>
      <c r="AL310" s="666"/>
      <c r="AM310" s="666"/>
      <c r="AN310" s="666"/>
      <c r="AO310" s="666"/>
      <c r="AP310" s="666"/>
      <c r="AQ310" s="666"/>
      <c r="AR310" s="666"/>
      <c r="AS310" s="666"/>
      <c r="AT310" s="666"/>
      <c r="AU310" s="666"/>
      <c r="AV310" s="666"/>
      <c r="AW310" s="666"/>
      <c r="AX310" s="666"/>
      <c r="AY310" s="666"/>
      <c r="AZ310" s="666"/>
    </row>
    <row r="311" spans="1:52" x14ac:dyDescent="0.2">
      <c r="A311" s="666"/>
      <c r="B311" s="666"/>
      <c r="C311" s="666"/>
      <c r="D311" s="677"/>
      <c r="E311" s="678"/>
      <c r="F311" s="679"/>
      <c r="G311" s="679"/>
      <c r="H311" s="678"/>
      <c r="I311" s="678"/>
      <c r="J311" s="678"/>
      <c r="K311" s="678"/>
      <c r="L311" s="678"/>
      <c r="M311" s="680"/>
      <c r="N311" s="680"/>
      <c r="O311" s="666"/>
      <c r="P311" s="666"/>
      <c r="Q311" s="666"/>
      <c r="R311" s="666"/>
      <c r="S311" s="666"/>
      <c r="T311" s="666"/>
      <c r="U311" s="666"/>
      <c r="V311" s="666"/>
      <c r="W311" s="666"/>
      <c r="X311" s="666"/>
      <c r="Y311" s="666"/>
      <c r="Z311" s="666"/>
      <c r="AA311" s="666"/>
      <c r="AB311" s="666"/>
      <c r="AC311" s="666"/>
      <c r="AD311" s="666"/>
      <c r="AE311" s="666"/>
      <c r="AF311" s="666"/>
      <c r="AG311" s="666"/>
      <c r="AH311" s="666"/>
      <c r="AI311" s="666"/>
      <c r="AJ311" s="666"/>
      <c r="AK311" s="666"/>
      <c r="AL311" s="666"/>
      <c r="AM311" s="666"/>
      <c r="AN311" s="666"/>
      <c r="AO311" s="666"/>
      <c r="AP311" s="666"/>
      <c r="AQ311" s="666"/>
      <c r="AR311" s="666"/>
      <c r="AS311" s="666"/>
      <c r="AT311" s="666"/>
      <c r="AU311" s="666"/>
      <c r="AV311" s="666"/>
      <c r="AW311" s="666"/>
      <c r="AX311" s="666"/>
      <c r="AY311" s="666"/>
      <c r="AZ311" s="666"/>
    </row>
    <row r="312" spans="1:52" x14ac:dyDescent="0.2">
      <c r="A312" s="666"/>
      <c r="B312" s="666"/>
      <c r="C312" s="666"/>
      <c r="D312" s="677"/>
      <c r="E312" s="678"/>
      <c r="F312" s="679"/>
      <c r="G312" s="679"/>
      <c r="H312" s="678"/>
      <c r="I312" s="678"/>
      <c r="J312" s="678"/>
      <c r="K312" s="678"/>
      <c r="L312" s="678"/>
      <c r="M312" s="680"/>
      <c r="N312" s="680"/>
      <c r="O312" s="666"/>
      <c r="P312" s="666"/>
      <c r="Q312" s="666"/>
      <c r="R312" s="666"/>
      <c r="S312" s="666"/>
      <c r="T312" s="666"/>
      <c r="U312" s="666"/>
      <c r="V312" s="666"/>
      <c r="W312" s="666"/>
      <c r="X312" s="666"/>
      <c r="Y312" s="666"/>
      <c r="Z312" s="666"/>
      <c r="AA312" s="666"/>
      <c r="AB312" s="666"/>
      <c r="AC312" s="666"/>
      <c r="AD312" s="666"/>
      <c r="AE312" s="666"/>
      <c r="AF312" s="666"/>
      <c r="AG312" s="666"/>
      <c r="AH312" s="666"/>
      <c r="AI312" s="666"/>
      <c r="AJ312" s="666"/>
      <c r="AK312" s="666"/>
      <c r="AL312" s="666"/>
      <c r="AM312" s="666"/>
      <c r="AN312" s="666"/>
      <c r="AO312" s="666"/>
      <c r="AP312" s="666"/>
      <c r="AQ312" s="666"/>
      <c r="AR312" s="666"/>
      <c r="AS312" s="666"/>
      <c r="AT312" s="666"/>
      <c r="AU312" s="666"/>
      <c r="AV312" s="666"/>
      <c r="AW312" s="666"/>
      <c r="AX312" s="666"/>
      <c r="AY312" s="666"/>
      <c r="AZ312" s="666"/>
    </row>
    <row r="313" spans="1:52" x14ac:dyDescent="0.2">
      <c r="A313" s="666"/>
      <c r="B313" s="666"/>
      <c r="C313" s="666"/>
      <c r="D313" s="677"/>
      <c r="E313" s="678"/>
      <c r="F313" s="679"/>
      <c r="G313" s="679"/>
      <c r="H313" s="678"/>
      <c r="I313" s="678"/>
      <c r="J313" s="678"/>
      <c r="K313" s="678"/>
      <c r="L313" s="678"/>
      <c r="M313" s="680"/>
      <c r="N313" s="680"/>
      <c r="O313" s="666"/>
      <c r="P313" s="666"/>
      <c r="Q313" s="666"/>
      <c r="R313" s="666"/>
      <c r="S313" s="666"/>
      <c r="T313" s="666"/>
      <c r="U313" s="666"/>
      <c r="V313" s="666"/>
      <c r="W313" s="666"/>
      <c r="X313" s="666"/>
      <c r="Y313" s="666"/>
      <c r="Z313" s="666"/>
      <c r="AA313" s="666"/>
      <c r="AB313" s="666"/>
      <c r="AC313" s="666"/>
      <c r="AD313" s="666"/>
      <c r="AE313" s="666"/>
      <c r="AF313" s="666"/>
      <c r="AG313" s="666"/>
      <c r="AH313" s="666"/>
      <c r="AI313" s="666"/>
      <c r="AJ313" s="666"/>
      <c r="AK313" s="666"/>
      <c r="AL313" s="666"/>
      <c r="AM313" s="666"/>
      <c r="AN313" s="666"/>
      <c r="AO313" s="666"/>
      <c r="AP313" s="666"/>
      <c r="AQ313" s="666"/>
      <c r="AR313" s="666"/>
      <c r="AS313" s="666"/>
      <c r="AT313" s="666"/>
      <c r="AU313" s="666"/>
      <c r="AV313" s="666"/>
      <c r="AW313" s="666"/>
      <c r="AX313" s="666"/>
      <c r="AY313" s="666"/>
      <c r="AZ313" s="666"/>
    </row>
    <row r="314" spans="1:52" x14ac:dyDescent="0.2">
      <c r="A314" s="666"/>
      <c r="B314" s="666"/>
      <c r="C314" s="666"/>
      <c r="D314" s="677"/>
      <c r="E314" s="678"/>
      <c r="F314" s="679"/>
      <c r="G314" s="679"/>
      <c r="H314" s="678"/>
      <c r="I314" s="678"/>
      <c r="J314" s="678"/>
      <c r="K314" s="678"/>
      <c r="L314" s="678"/>
      <c r="M314" s="680"/>
      <c r="N314" s="680"/>
      <c r="O314" s="666"/>
      <c r="P314" s="666"/>
      <c r="Q314" s="666"/>
      <c r="R314" s="666"/>
      <c r="S314" s="666"/>
      <c r="T314" s="666"/>
      <c r="U314" s="666"/>
      <c r="V314" s="666"/>
      <c r="W314" s="666"/>
      <c r="X314" s="666"/>
      <c r="Y314" s="666"/>
      <c r="Z314" s="666"/>
      <c r="AA314" s="666"/>
      <c r="AB314" s="666"/>
      <c r="AC314" s="666"/>
      <c r="AD314" s="666"/>
      <c r="AE314" s="666"/>
      <c r="AF314" s="666"/>
      <c r="AG314" s="666"/>
      <c r="AH314" s="666"/>
      <c r="AI314" s="666"/>
      <c r="AJ314" s="666"/>
      <c r="AK314" s="666"/>
      <c r="AL314" s="666"/>
      <c r="AM314" s="666"/>
      <c r="AN314" s="666"/>
      <c r="AO314" s="666"/>
      <c r="AP314" s="666"/>
      <c r="AQ314" s="666"/>
      <c r="AR314" s="666"/>
      <c r="AS314" s="666"/>
      <c r="AT314" s="666"/>
      <c r="AU314" s="666"/>
      <c r="AV314" s="666"/>
      <c r="AW314" s="666"/>
      <c r="AX314" s="666"/>
      <c r="AY314" s="666"/>
      <c r="AZ314" s="666"/>
    </row>
    <row r="315" spans="1:52" x14ac:dyDescent="0.2">
      <c r="A315" s="666"/>
      <c r="B315" s="666"/>
      <c r="C315" s="666"/>
      <c r="D315" s="677"/>
      <c r="E315" s="678"/>
      <c r="F315" s="679"/>
      <c r="G315" s="679"/>
      <c r="H315" s="678"/>
      <c r="I315" s="678"/>
      <c r="J315" s="678"/>
      <c r="K315" s="678"/>
      <c r="L315" s="678"/>
      <c r="M315" s="680"/>
      <c r="N315" s="680"/>
      <c r="O315" s="666"/>
      <c r="P315" s="666"/>
      <c r="Q315" s="666"/>
      <c r="R315" s="666"/>
      <c r="S315" s="666"/>
      <c r="T315" s="666"/>
      <c r="U315" s="666"/>
      <c r="V315" s="666"/>
      <c r="W315" s="666"/>
      <c r="X315" s="666"/>
      <c r="Y315" s="666"/>
      <c r="Z315" s="666"/>
      <c r="AA315" s="666"/>
      <c r="AB315" s="666"/>
      <c r="AC315" s="666"/>
      <c r="AD315" s="666"/>
      <c r="AE315" s="666"/>
      <c r="AF315" s="666"/>
      <c r="AG315" s="666"/>
      <c r="AH315" s="666"/>
      <c r="AI315" s="666"/>
      <c r="AJ315" s="666"/>
      <c r="AK315" s="666"/>
      <c r="AL315" s="666"/>
      <c r="AM315" s="666"/>
      <c r="AN315" s="666"/>
      <c r="AO315" s="666"/>
      <c r="AP315" s="666"/>
      <c r="AQ315" s="666"/>
      <c r="AR315" s="666"/>
      <c r="AS315" s="666"/>
      <c r="AT315" s="666"/>
      <c r="AU315" s="666"/>
      <c r="AV315" s="666"/>
      <c r="AW315" s="666"/>
      <c r="AX315" s="666"/>
      <c r="AY315" s="666"/>
      <c r="AZ315" s="666"/>
    </row>
    <row r="316" spans="1:52" x14ac:dyDescent="0.2">
      <c r="A316" s="666"/>
      <c r="B316" s="666"/>
      <c r="C316" s="666"/>
      <c r="D316" s="677"/>
      <c r="E316" s="678"/>
      <c r="F316" s="679"/>
      <c r="G316" s="679"/>
      <c r="H316" s="678"/>
      <c r="I316" s="678"/>
      <c r="J316" s="678"/>
      <c r="K316" s="678"/>
      <c r="L316" s="678"/>
      <c r="M316" s="680"/>
      <c r="N316" s="680"/>
      <c r="O316" s="666"/>
      <c r="P316" s="666"/>
      <c r="Q316" s="666"/>
      <c r="R316" s="666"/>
      <c r="S316" s="666"/>
      <c r="T316" s="666"/>
      <c r="U316" s="666"/>
      <c r="V316" s="666"/>
      <c r="W316" s="666"/>
      <c r="X316" s="666"/>
      <c r="Y316" s="666"/>
      <c r="Z316" s="666"/>
      <c r="AA316" s="666"/>
      <c r="AB316" s="666"/>
      <c r="AC316" s="666"/>
      <c r="AD316" s="666"/>
      <c r="AE316" s="666"/>
      <c r="AF316" s="666"/>
      <c r="AG316" s="666"/>
      <c r="AH316" s="666"/>
      <c r="AI316" s="666"/>
      <c r="AJ316" s="666"/>
      <c r="AK316" s="666"/>
      <c r="AL316" s="666"/>
      <c r="AM316" s="666"/>
      <c r="AN316" s="666"/>
      <c r="AO316" s="666"/>
      <c r="AP316" s="666"/>
      <c r="AQ316" s="666"/>
      <c r="AR316" s="666"/>
      <c r="AS316" s="666"/>
      <c r="AT316" s="666"/>
      <c r="AU316" s="666"/>
      <c r="AV316" s="666"/>
      <c r="AW316" s="666"/>
      <c r="AX316" s="666"/>
      <c r="AY316" s="666"/>
      <c r="AZ316" s="666"/>
    </row>
    <row r="317" spans="1:52" x14ac:dyDescent="0.2">
      <c r="A317" s="666"/>
      <c r="B317" s="666"/>
      <c r="C317" s="666"/>
      <c r="D317" s="677"/>
      <c r="E317" s="678"/>
      <c r="F317" s="679"/>
      <c r="G317" s="679"/>
      <c r="H317" s="678"/>
      <c r="I317" s="678"/>
      <c r="J317" s="678"/>
      <c r="K317" s="678"/>
      <c r="L317" s="678"/>
      <c r="M317" s="680"/>
      <c r="N317" s="680"/>
      <c r="O317" s="666"/>
      <c r="P317" s="666"/>
      <c r="Q317" s="666"/>
      <c r="R317" s="666"/>
      <c r="S317" s="666"/>
      <c r="T317" s="666"/>
      <c r="U317" s="666"/>
      <c r="V317" s="666"/>
      <c r="W317" s="666"/>
      <c r="X317" s="666"/>
      <c r="Y317" s="666"/>
      <c r="Z317" s="666"/>
      <c r="AA317" s="666"/>
      <c r="AB317" s="666"/>
      <c r="AC317" s="666"/>
      <c r="AD317" s="666"/>
      <c r="AE317" s="666"/>
      <c r="AF317" s="666"/>
      <c r="AG317" s="666"/>
      <c r="AH317" s="666"/>
      <c r="AI317" s="666"/>
      <c r="AJ317" s="666"/>
      <c r="AK317" s="666"/>
      <c r="AL317" s="666"/>
      <c r="AM317" s="666"/>
      <c r="AN317" s="666"/>
      <c r="AO317" s="666"/>
      <c r="AP317" s="666"/>
      <c r="AQ317" s="666"/>
      <c r="AR317" s="666"/>
      <c r="AS317" s="666"/>
      <c r="AT317" s="666"/>
      <c r="AU317" s="666"/>
      <c r="AV317" s="666"/>
      <c r="AW317" s="666"/>
      <c r="AX317" s="666"/>
      <c r="AY317" s="666"/>
      <c r="AZ317" s="666"/>
    </row>
    <row r="318" spans="1:52" x14ac:dyDescent="0.2">
      <c r="A318" s="666"/>
      <c r="B318" s="666"/>
      <c r="C318" s="666"/>
      <c r="D318" s="677"/>
      <c r="E318" s="678"/>
      <c r="F318" s="679"/>
      <c r="G318" s="679"/>
      <c r="H318" s="678"/>
      <c r="I318" s="678"/>
      <c r="J318" s="678"/>
      <c r="K318" s="678"/>
      <c r="L318" s="678"/>
      <c r="M318" s="680"/>
      <c r="N318" s="680"/>
      <c r="O318" s="666"/>
      <c r="P318" s="666"/>
      <c r="Q318" s="666"/>
      <c r="R318" s="666"/>
      <c r="S318" s="666"/>
      <c r="T318" s="666"/>
      <c r="U318" s="666"/>
      <c r="V318" s="666"/>
      <c r="W318" s="666"/>
      <c r="X318" s="666"/>
      <c r="Y318" s="666"/>
      <c r="Z318" s="666"/>
      <c r="AA318" s="666"/>
      <c r="AB318" s="666"/>
      <c r="AC318" s="666"/>
      <c r="AD318" s="666"/>
      <c r="AE318" s="666"/>
      <c r="AF318" s="666"/>
      <c r="AG318" s="666"/>
      <c r="AH318" s="666"/>
      <c r="AI318" s="666"/>
      <c r="AJ318" s="666"/>
      <c r="AK318" s="666"/>
      <c r="AL318" s="666"/>
      <c r="AM318" s="666"/>
      <c r="AN318" s="666"/>
      <c r="AO318" s="666"/>
      <c r="AP318" s="666"/>
      <c r="AQ318" s="666"/>
      <c r="AR318" s="666"/>
      <c r="AS318" s="666"/>
      <c r="AT318" s="666"/>
      <c r="AU318" s="666"/>
      <c r="AV318" s="666"/>
      <c r="AW318" s="666"/>
      <c r="AX318" s="666"/>
      <c r="AY318" s="666"/>
      <c r="AZ318" s="666"/>
    </row>
    <row r="319" spans="1:52" x14ac:dyDescent="0.2">
      <c r="A319" s="666"/>
      <c r="B319" s="666"/>
      <c r="C319" s="666"/>
      <c r="D319" s="677"/>
      <c r="E319" s="678"/>
      <c r="F319" s="679"/>
      <c r="G319" s="679"/>
      <c r="H319" s="678"/>
      <c r="I319" s="678"/>
      <c r="J319" s="678"/>
      <c r="K319" s="678"/>
      <c r="L319" s="678"/>
      <c r="M319" s="680"/>
      <c r="N319" s="680"/>
      <c r="O319" s="666"/>
      <c r="P319" s="666"/>
      <c r="Q319" s="666"/>
      <c r="R319" s="666"/>
      <c r="S319" s="666"/>
      <c r="T319" s="666"/>
      <c r="U319" s="666"/>
      <c r="V319" s="666"/>
      <c r="W319" s="666"/>
      <c r="X319" s="666"/>
      <c r="Y319" s="666"/>
      <c r="Z319" s="666"/>
      <c r="AA319" s="666"/>
      <c r="AB319" s="666"/>
      <c r="AC319" s="666"/>
      <c r="AD319" s="666"/>
      <c r="AE319" s="666"/>
      <c r="AF319" s="666"/>
      <c r="AG319" s="666"/>
      <c r="AH319" s="666"/>
      <c r="AI319" s="666"/>
      <c r="AJ319" s="666"/>
      <c r="AK319" s="666"/>
      <c r="AL319" s="666"/>
      <c r="AM319" s="666"/>
      <c r="AN319" s="666"/>
      <c r="AO319" s="666"/>
      <c r="AP319" s="666"/>
      <c r="AQ319" s="666"/>
      <c r="AR319" s="666"/>
      <c r="AS319" s="666"/>
      <c r="AT319" s="666"/>
      <c r="AU319" s="666"/>
      <c r="AV319" s="666"/>
      <c r="AW319" s="666"/>
      <c r="AX319" s="666"/>
      <c r="AY319" s="666"/>
      <c r="AZ319" s="666"/>
    </row>
    <row r="320" spans="1:52" x14ac:dyDescent="0.2">
      <c r="A320" s="666"/>
      <c r="B320" s="666"/>
      <c r="C320" s="666"/>
      <c r="D320" s="677"/>
      <c r="E320" s="678"/>
      <c r="F320" s="679"/>
      <c r="G320" s="679"/>
      <c r="H320" s="678"/>
      <c r="I320" s="678"/>
      <c r="J320" s="678"/>
      <c r="K320" s="678"/>
      <c r="L320" s="678"/>
      <c r="M320" s="680"/>
      <c r="N320" s="680"/>
      <c r="O320" s="666"/>
      <c r="P320" s="666"/>
      <c r="Q320" s="666"/>
      <c r="R320" s="666"/>
      <c r="S320" s="666"/>
      <c r="T320" s="666"/>
      <c r="U320" s="666"/>
      <c r="V320" s="666"/>
      <c r="W320" s="666"/>
      <c r="X320" s="666"/>
      <c r="Y320" s="666"/>
      <c r="Z320" s="666"/>
      <c r="AA320" s="666"/>
      <c r="AB320" s="666"/>
      <c r="AC320" s="666"/>
      <c r="AD320" s="666"/>
      <c r="AE320" s="666"/>
      <c r="AF320" s="666"/>
      <c r="AG320" s="666"/>
      <c r="AH320" s="666"/>
      <c r="AI320" s="666"/>
      <c r="AJ320" s="666"/>
      <c r="AK320" s="666"/>
      <c r="AL320" s="666"/>
      <c r="AM320" s="666"/>
      <c r="AN320" s="666"/>
      <c r="AO320" s="666"/>
      <c r="AP320" s="666"/>
      <c r="AQ320" s="666"/>
      <c r="AR320" s="666"/>
      <c r="AS320" s="666"/>
      <c r="AT320" s="666"/>
      <c r="AU320" s="666"/>
      <c r="AV320" s="666"/>
      <c r="AW320" s="666"/>
      <c r="AX320" s="666"/>
      <c r="AY320" s="666"/>
      <c r="AZ320" s="666"/>
    </row>
    <row r="321" spans="1:52" x14ac:dyDescent="0.2">
      <c r="A321" s="666"/>
      <c r="B321" s="666"/>
      <c r="C321" s="666"/>
      <c r="D321" s="677"/>
      <c r="E321" s="678"/>
      <c r="F321" s="679"/>
      <c r="G321" s="679"/>
      <c r="H321" s="678"/>
      <c r="I321" s="678"/>
      <c r="J321" s="678"/>
      <c r="K321" s="678"/>
      <c r="L321" s="678"/>
      <c r="M321" s="680"/>
      <c r="N321" s="680"/>
      <c r="O321" s="666"/>
      <c r="P321" s="666"/>
      <c r="Q321" s="666"/>
      <c r="R321" s="666"/>
      <c r="S321" s="666"/>
      <c r="T321" s="666"/>
      <c r="U321" s="666"/>
      <c r="V321" s="666"/>
      <c r="W321" s="666"/>
      <c r="X321" s="666"/>
      <c r="Y321" s="666"/>
      <c r="Z321" s="666"/>
      <c r="AA321" s="666"/>
      <c r="AB321" s="666"/>
      <c r="AC321" s="666"/>
      <c r="AD321" s="666"/>
      <c r="AE321" s="666"/>
      <c r="AF321" s="666"/>
      <c r="AG321" s="666"/>
      <c r="AH321" s="666"/>
      <c r="AI321" s="666"/>
      <c r="AJ321" s="666"/>
      <c r="AK321" s="666"/>
      <c r="AL321" s="666"/>
      <c r="AM321" s="666"/>
      <c r="AN321" s="666"/>
      <c r="AO321" s="666"/>
      <c r="AP321" s="666"/>
      <c r="AQ321" s="666"/>
      <c r="AR321" s="666"/>
      <c r="AS321" s="666"/>
      <c r="AT321" s="666"/>
      <c r="AU321" s="666"/>
      <c r="AV321" s="666"/>
      <c r="AW321" s="666"/>
      <c r="AX321" s="666"/>
      <c r="AY321" s="666"/>
      <c r="AZ321" s="666"/>
    </row>
    <row r="322" spans="1:52" x14ac:dyDescent="0.2">
      <c r="A322" s="666"/>
      <c r="B322" s="666"/>
      <c r="C322" s="666"/>
      <c r="D322" s="677"/>
      <c r="E322" s="678"/>
      <c r="F322" s="679"/>
      <c r="G322" s="679"/>
      <c r="H322" s="678"/>
      <c r="I322" s="678"/>
      <c r="J322" s="678"/>
      <c r="K322" s="678"/>
      <c r="L322" s="678"/>
      <c r="M322" s="680"/>
      <c r="N322" s="680"/>
      <c r="O322" s="666"/>
      <c r="P322" s="666"/>
      <c r="Q322" s="666"/>
      <c r="R322" s="666"/>
      <c r="S322" s="666"/>
      <c r="T322" s="666"/>
      <c r="U322" s="666"/>
      <c r="V322" s="666"/>
      <c r="W322" s="666"/>
      <c r="X322" s="666"/>
      <c r="Y322" s="666"/>
      <c r="Z322" s="666"/>
      <c r="AA322" s="666"/>
      <c r="AB322" s="666"/>
      <c r="AC322" s="666"/>
      <c r="AD322" s="666"/>
      <c r="AE322" s="666"/>
      <c r="AF322" s="666"/>
      <c r="AG322" s="666"/>
      <c r="AH322" s="666"/>
      <c r="AI322" s="666"/>
      <c r="AJ322" s="666"/>
      <c r="AK322" s="666"/>
      <c r="AL322" s="666"/>
      <c r="AM322" s="666"/>
      <c r="AN322" s="666"/>
      <c r="AO322" s="666"/>
      <c r="AP322" s="666"/>
      <c r="AQ322" s="666"/>
      <c r="AR322" s="666"/>
      <c r="AS322" s="666"/>
      <c r="AT322" s="666"/>
      <c r="AU322" s="666"/>
      <c r="AV322" s="666"/>
      <c r="AW322" s="666"/>
      <c r="AX322" s="666"/>
      <c r="AY322" s="666"/>
      <c r="AZ322" s="666"/>
    </row>
    <row r="323" spans="1:52" x14ac:dyDescent="0.2">
      <c r="A323" s="666"/>
      <c r="B323" s="666"/>
      <c r="C323" s="666"/>
      <c r="D323" s="677"/>
      <c r="E323" s="678"/>
      <c r="F323" s="679"/>
      <c r="G323" s="679"/>
      <c r="H323" s="678"/>
      <c r="I323" s="678"/>
      <c r="J323" s="678"/>
      <c r="K323" s="678"/>
      <c r="L323" s="678"/>
      <c r="M323" s="680"/>
      <c r="N323" s="680"/>
      <c r="O323" s="666"/>
      <c r="P323" s="666"/>
      <c r="Q323" s="666"/>
      <c r="R323" s="666"/>
      <c r="S323" s="666"/>
      <c r="T323" s="666"/>
      <c r="U323" s="666"/>
      <c r="V323" s="666"/>
      <c r="W323" s="666"/>
      <c r="X323" s="666"/>
      <c r="Y323" s="666"/>
      <c r="Z323" s="666"/>
      <c r="AA323" s="666"/>
      <c r="AB323" s="666"/>
      <c r="AC323" s="666"/>
      <c r="AD323" s="666"/>
      <c r="AE323" s="666"/>
      <c r="AF323" s="666"/>
      <c r="AG323" s="666"/>
      <c r="AH323" s="666"/>
      <c r="AI323" s="666"/>
      <c r="AJ323" s="666"/>
      <c r="AK323" s="666"/>
      <c r="AL323" s="666"/>
      <c r="AM323" s="666"/>
      <c r="AN323" s="666"/>
      <c r="AO323" s="666"/>
      <c r="AP323" s="666"/>
      <c r="AQ323" s="666"/>
      <c r="AR323" s="666"/>
      <c r="AS323" s="666"/>
      <c r="AT323" s="666"/>
      <c r="AU323" s="666"/>
      <c r="AV323" s="666"/>
      <c r="AW323" s="666"/>
      <c r="AX323" s="666"/>
      <c r="AY323" s="666"/>
      <c r="AZ323" s="666"/>
    </row>
    <row r="324" spans="1:52" x14ac:dyDescent="0.2">
      <c r="A324" s="666"/>
      <c r="B324" s="666"/>
      <c r="C324" s="666"/>
      <c r="D324" s="677"/>
      <c r="E324" s="678"/>
      <c r="F324" s="679"/>
      <c r="G324" s="679"/>
      <c r="H324" s="678"/>
      <c r="I324" s="678"/>
      <c r="J324" s="678"/>
      <c r="K324" s="678"/>
      <c r="L324" s="678"/>
      <c r="M324" s="680"/>
      <c r="N324" s="680"/>
      <c r="O324" s="666"/>
      <c r="P324" s="666"/>
      <c r="Q324" s="666"/>
      <c r="R324" s="666"/>
      <c r="S324" s="666"/>
      <c r="T324" s="666"/>
      <c r="U324" s="666"/>
      <c r="V324" s="666"/>
      <c r="W324" s="666"/>
      <c r="X324" s="666"/>
      <c r="Y324" s="666"/>
      <c r="Z324" s="666"/>
      <c r="AA324" s="666"/>
      <c r="AB324" s="666"/>
      <c r="AC324" s="666"/>
      <c r="AD324" s="666"/>
      <c r="AE324" s="666"/>
      <c r="AF324" s="666"/>
      <c r="AG324" s="666"/>
      <c r="AH324" s="666"/>
      <c r="AI324" s="666"/>
      <c r="AJ324" s="666"/>
      <c r="AK324" s="666"/>
      <c r="AL324" s="666"/>
      <c r="AM324" s="666"/>
      <c r="AN324" s="666"/>
      <c r="AO324" s="666"/>
      <c r="AP324" s="666"/>
      <c r="AQ324" s="666"/>
      <c r="AR324" s="666"/>
      <c r="AS324" s="666"/>
      <c r="AT324" s="666"/>
      <c r="AU324" s="666"/>
      <c r="AV324" s="666"/>
      <c r="AW324" s="666"/>
      <c r="AX324" s="666"/>
      <c r="AY324" s="666"/>
      <c r="AZ324" s="666"/>
    </row>
    <row r="325" spans="1:52" x14ac:dyDescent="0.2">
      <c r="A325" s="666"/>
      <c r="B325" s="666"/>
      <c r="C325" s="666"/>
      <c r="D325" s="677"/>
      <c r="E325" s="678"/>
      <c r="F325" s="679"/>
      <c r="G325" s="679"/>
      <c r="H325" s="678"/>
      <c r="I325" s="678"/>
      <c r="J325" s="678"/>
      <c r="K325" s="678"/>
      <c r="L325" s="678"/>
      <c r="M325" s="680"/>
      <c r="N325" s="680"/>
      <c r="O325" s="666"/>
      <c r="P325" s="666"/>
      <c r="Q325" s="666"/>
      <c r="R325" s="666"/>
      <c r="S325" s="666"/>
      <c r="T325" s="666"/>
      <c r="U325" s="666"/>
      <c r="V325" s="666"/>
      <c r="W325" s="666"/>
      <c r="X325" s="666"/>
      <c r="Y325" s="666"/>
      <c r="Z325" s="666"/>
      <c r="AA325" s="666"/>
      <c r="AB325" s="666"/>
      <c r="AC325" s="666"/>
      <c r="AD325" s="666"/>
      <c r="AE325" s="666"/>
      <c r="AF325" s="666"/>
      <c r="AG325" s="666"/>
      <c r="AH325" s="666"/>
      <c r="AI325" s="666"/>
      <c r="AJ325" s="666"/>
      <c r="AK325" s="666"/>
      <c r="AL325" s="666"/>
      <c r="AM325" s="666"/>
      <c r="AN325" s="666"/>
      <c r="AO325" s="666"/>
      <c r="AP325" s="666"/>
      <c r="AQ325" s="666"/>
      <c r="AR325" s="666"/>
      <c r="AS325" s="666"/>
      <c r="AT325" s="666"/>
      <c r="AU325" s="666"/>
      <c r="AV325" s="666"/>
      <c r="AW325" s="666"/>
      <c r="AX325" s="666"/>
      <c r="AY325" s="666"/>
      <c r="AZ325" s="666"/>
    </row>
    <row r="326" spans="1:52" x14ac:dyDescent="0.2">
      <c r="A326" s="666"/>
      <c r="B326" s="666"/>
      <c r="C326" s="666"/>
      <c r="D326" s="677"/>
      <c r="E326" s="678"/>
      <c r="F326" s="679"/>
      <c r="G326" s="679"/>
      <c r="H326" s="678"/>
      <c r="I326" s="678"/>
      <c r="J326" s="678"/>
      <c r="K326" s="678"/>
      <c r="L326" s="678"/>
      <c r="M326" s="680"/>
      <c r="N326" s="680"/>
      <c r="O326" s="666"/>
      <c r="P326" s="666"/>
      <c r="Q326" s="666"/>
      <c r="R326" s="666"/>
      <c r="S326" s="666"/>
      <c r="T326" s="666"/>
      <c r="U326" s="666"/>
      <c r="V326" s="666"/>
      <c r="W326" s="666"/>
      <c r="X326" s="666"/>
      <c r="Y326" s="666"/>
      <c r="Z326" s="666"/>
      <c r="AA326" s="666"/>
      <c r="AB326" s="666"/>
      <c r="AC326" s="666"/>
      <c r="AD326" s="666"/>
      <c r="AE326" s="666"/>
      <c r="AF326" s="666"/>
      <c r="AG326" s="666"/>
      <c r="AH326" s="666"/>
      <c r="AI326" s="666"/>
      <c r="AJ326" s="666"/>
      <c r="AK326" s="666"/>
      <c r="AL326" s="666"/>
      <c r="AM326" s="666"/>
      <c r="AN326" s="666"/>
      <c r="AO326" s="666"/>
      <c r="AP326" s="666"/>
      <c r="AQ326" s="666"/>
      <c r="AR326" s="666"/>
      <c r="AS326" s="666"/>
      <c r="AT326" s="666"/>
      <c r="AU326" s="666"/>
      <c r="AV326" s="666"/>
      <c r="AW326" s="666"/>
      <c r="AX326" s="666"/>
      <c r="AY326" s="666"/>
      <c r="AZ326" s="666"/>
    </row>
    <row r="327" spans="1:52" x14ac:dyDescent="0.2">
      <c r="A327" s="666"/>
      <c r="B327" s="666"/>
      <c r="C327" s="666"/>
      <c r="D327" s="677"/>
      <c r="E327" s="678"/>
      <c r="F327" s="679"/>
      <c r="G327" s="679"/>
      <c r="H327" s="678"/>
      <c r="I327" s="678"/>
      <c r="J327" s="678"/>
      <c r="K327" s="678"/>
      <c r="L327" s="678"/>
      <c r="M327" s="680"/>
      <c r="N327" s="680"/>
      <c r="O327" s="666"/>
      <c r="P327" s="666"/>
      <c r="Q327" s="666"/>
      <c r="R327" s="666"/>
      <c r="S327" s="666"/>
      <c r="T327" s="666"/>
      <c r="U327" s="666"/>
      <c r="V327" s="666"/>
      <c r="W327" s="666"/>
      <c r="X327" s="666"/>
      <c r="Y327" s="666"/>
      <c r="Z327" s="666"/>
      <c r="AA327" s="666"/>
      <c r="AB327" s="666"/>
      <c r="AC327" s="666"/>
      <c r="AD327" s="666"/>
      <c r="AE327" s="666"/>
      <c r="AF327" s="666"/>
      <c r="AG327" s="666"/>
      <c r="AH327" s="666"/>
      <c r="AI327" s="666"/>
      <c r="AJ327" s="666"/>
      <c r="AK327" s="666"/>
      <c r="AL327" s="666"/>
      <c r="AM327" s="666"/>
      <c r="AN327" s="666"/>
      <c r="AO327" s="666"/>
      <c r="AP327" s="666"/>
      <c r="AQ327" s="666"/>
      <c r="AR327" s="666"/>
      <c r="AS327" s="666"/>
      <c r="AT327" s="666"/>
      <c r="AU327" s="666"/>
      <c r="AV327" s="666"/>
      <c r="AW327" s="666"/>
      <c r="AX327" s="666"/>
      <c r="AY327" s="666"/>
      <c r="AZ327" s="666"/>
    </row>
    <row r="328" spans="1:52" x14ac:dyDescent="0.2">
      <c r="A328" s="666"/>
      <c r="B328" s="666"/>
      <c r="C328" s="666"/>
      <c r="D328" s="677"/>
      <c r="E328" s="678"/>
      <c r="F328" s="679"/>
      <c r="G328" s="679"/>
      <c r="H328" s="678"/>
      <c r="I328" s="678"/>
      <c r="J328" s="678"/>
      <c r="K328" s="678"/>
      <c r="L328" s="678"/>
      <c r="M328" s="680"/>
      <c r="N328" s="680"/>
      <c r="O328" s="666"/>
      <c r="P328" s="666"/>
      <c r="Q328" s="666"/>
      <c r="R328" s="666"/>
      <c r="S328" s="666"/>
      <c r="T328" s="666"/>
      <c r="U328" s="666"/>
      <c r="V328" s="666"/>
      <c r="W328" s="666"/>
      <c r="X328" s="666"/>
      <c r="Y328" s="666"/>
      <c r="Z328" s="666"/>
      <c r="AA328" s="666"/>
      <c r="AB328" s="666"/>
      <c r="AC328" s="666"/>
      <c r="AD328" s="666"/>
      <c r="AE328" s="666"/>
      <c r="AF328" s="666"/>
      <c r="AG328" s="666"/>
      <c r="AH328" s="666"/>
      <c r="AI328" s="666"/>
      <c r="AJ328" s="666"/>
      <c r="AK328" s="666"/>
      <c r="AL328" s="666"/>
      <c r="AM328" s="666"/>
      <c r="AN328" s="666"/>
      <c r="AO328" s="666"/>
      <c r="AP328" s="666"/>
      <c r="AQ328" s="666"/>
      <c r="AR328" s="666"/>
      <c r="AS328" s="666"/>
      <c r="AT328" s="666"/>
      <c r="AU328" s="666"/>
      <c r="AV328" s="666"/>
      <c r="AW328" s="666"/>
      <c r="AX328" s="666"/>
      <c r="AY328" s="666"/>
      <c r="AZ328" s="666"/>
    </row>
    <row r="329" spans="1:52" x14ac:dyDescent="0.2">
      <c r="A329" s="666"/>
      <c r="B329" s="666"/>
      <c r="C329" s="666"/>
      <c r="D329" s="677"/>
      <c r="E329" s="678"/>
      <c r="F329" s="679"/>
      <c r="G329" s="679"/>
      <c r="H329" s="678"/>
      <c r="I329" s="678"/>
      <c r="J329" s="678"/>
      <c r="K329" s="678"/>
      <c r="L329" s="678"/>
      <c r="M329" s="680"/>
      <c r="N329" s="680"/>
      <c r="O329" s="666"/>
      <c r="P329" s="666"/>
      <c r="Q329" s="666"/>
      <c r="R329" s="666"/>
      <c r="S329" s="666"/>
      <c r="T329" s="666"/>
      <c r="U329" s="666"/>
      <c r="V329" s="666"/>
      <c r="W329" s="666"/>
      <c r="X329" s="666"/>
      <c r="Y329" s="666"/>
      <c r="Z329" s="666"/>
      <c r="AA329" s="666"/>
      <c r="AB329" s="666"/>
      <c r="AC329" s="666"/>
      <c r="AD329" s="666"/>
      <c r="AE329" s="666"/>
      <c r="AF329" s="666"/>
      <c r="AG329" s="666"/>
      <c r="AH329" s="666"/>
      <c r="AI329" s="666"/>
      <c r="AJ329" s="666"/>
      <c r="AK329" s="666"/>
      <c r="AL329" s="666"/>
      <c r="AM329" s="666"/>
      <c r="AN329" s="666"/>
      <c r="AO329" s="666"/>
      <c r="AP329" s="666"/>
      <c r="AQ329" s="666"/>
      <c r="AR329" s="666"/>
      <c r="AS329" s="666"/>
      <c r="AT329" s="666"/>
      <c r="AU329" s="666"/>
      <c r="AV329" s="666"/>
      <c r="AW329" s="666"/>
      <c r="AX329" s="666"/>
      <c r="AY329" s="666"/>
      <c r="AZ329" s="666"/>
    </row>
    <row r="330" spans="1:52" x14ac:dyDescent="0.2">
      <c r="A330" s="666"/>
      <c r="B330" s="666"/>
      <c r="C330" s="666"/>
      <c r="D330" s="677"/>
      <c r="E330" s="678"/>
      <c r="F330" s="679"/>
      <c r="G330" s="679"/>
      <c r="H330" s="678"/>
      <c r="I330" s="678"/>
      <c r="J330" s="678"/>
      <c r="K330" s="678"/>
      <c r="L330" s="678"/>
      <c r="M330" s="680"/>
      <c r="N330" s="680"/>
      <c r="O330" s="666"/>
      <c r="P330" s="666"/>
      <c r="Q330" s="666"/>
      <c r="R330" s="666"/>
      <c r="S330" s="666"/>
      <c r="T330" s="666"/>
      <c r="U330" s="666"/>
      <c r="V330" s="666"/>
      <c r="W330" s="666"/>
      <c r="X330" s="666"/>
      <c r="Y330" s="666"/>
      <c r="Z330" s="666"/>
      <c r="AA330" s="666"/>
      <c r="AB330" s="666"/>
      <c r="AC330" s="666"/>
      <c r="AD330" s="666"/>
      <c r="AE330" s="666"/>
      <c r="AF330" s="666"/>
      <c r="AG330" s="666"/>
      <c r="AH330" s="666"/>
      <c r="AI330" s="666"/>
      <c r="AJ330" s="666"/>
      <c r="AK330" s="666"/>
      <c r="AL330" s="666"/>
      <c r="AM330" s="666"/>
      <c r="AN330" s="666"/>
      <c r="AO330" s="666"/>
      <c r="AP330" s="666"/>
      <c r="AQ330" s="666"/>
      <c r="AR330" s="666"/>
      <c r="AS330" s="666"/>
      <c r="AT330" s="666"/>
      <c r="AU330" s="666"/>
      <c r="AV330" s="666"/>
      <c r="AW330" s="666"/>
      <c r="AX330" s="666"/>
      <c r="AY330" s="666"/>
      <c r="AZ330" s="666"/>
    </row>
    <row r="331" spans="1:52" x14ac:dyDescent="0.2">
      <c r="A331" s="666"/>
      <c r="B331" s="666"/>
      <c r="C331" s="666"/>
      <c r="D331" s="677"/>
      <c r="E331" s="678"/>
      <c r="F331" s="679"/>
      <c r="G331" s="679"/>
      <c r="H331" s="678"/>
      <c r="I331" s="678"/>
      <c r="J331" s="678"/>
      <c r="K331" s="678"/>
      <c r="L331" s="678"/>
      <c r="M331" s="680"/>
      <c r="N331" s="680"/>
      <c r="O331" s="666"/>
      <c r="P331" s="666"/>
      <c r="Q331" s="666"/>
      <c r="R331" s="666"/>
      <c r="S331" s="666"/>
      <c r="T331" s="666"/>
      <c r="U331" s="666"/>
      <c r="V331" s="666"/>
      <c r="W331" s="666"/>
      <c r="X331" s="666"/>
      <c r="Y331" s="666"/>
      <c r="Z331" s="666"/>
      <c r="AA331" s="666"/>
      <c r="AB331" s="666"/>
      <c r="AC331" s="666"/>
      <c r="AD331" s="666"/>
      <c r="AE331" s="666"/>
      <c r="AF331" s="666"/>
      <c r="AG331" s="666"/>
      <c r="AH331" s="666"/>
      <c r="AI331" s="666"/>
      <c r="AJ331" s="666"/>
      <c r="AK331" s="666"/>
      <c r="AL331" s="666"/>
      <c r="AM331" s="666"/>
      <c r="AN331" s="666"/>
      <c r="AO331" s="666"/>
      <c r="AP331" s="666"/>
      <c r="AQ331" s="666"/>
      <c r="AR331" s="666"/>
      <c r="AS331" s="666"/>
      <c r="AT331" s="666"/>
      <c r="AU331" s="666"/>
      <c r="AV331" s="666"/>
      <c r="AW331" s="666"/>
      <c r="AX331" s="666"/>
      <c r="AY331" s="666"/>
      <c r="AZ331" s="666"/>
    </row>
    <row r="332" spans="1:52" x14ac:dyDescent="0.2">
      <c r="A332" s="666"/>
      <c r="B332" s="666"/>
      <c r="C332" s="666"/>
      <c r="D332" s="677"/>
      <c r="E332" s="678"/>
      <c r="F332" s="679"/>
      <c r="G332" s="679"/>
      <c r="H332" s="678"/>
      <c r="I332" s="678"/>
      <c r="J332" s="678"/>
      <c r="K332" s="678"/>
      <c r="L332" s="678"/>
      <c r="M332" s="680"/>
      <c r="N332" s="680"/>
      <c r="O332" s="666"/>
      <c r="P332" s="666"/>
      <c r="Q332" s="666"/>
      <c r="R332" s="666"/>
      <c r="S332" s="666"/>
      <c r="T332" s="666"/>
      <c r="U332" s="666"/>
      <c r="V332" s="666"/>
      <c r="W332" s="666"/>
      <c r="X332" s="666"/>
      <c r="Y332" s="666"/>
      <c r="Z332" s="666"/>
      <c r="AA332" s="666"/>
      <c r="AB332" s="666"/>
      <c r="AC332" s="666"/>
      <c r="AD332" s="666"/>
      <c r="AE332" s="666"/>
      <c r="AF332" s="666"/>
      <c r="AG332" s="666"/>
      <c r="AH332" s="666"/>
      <c r="AI332" s="666"/>
      <c r="AJ332" s="666"/>
      <c r="AK332" s="666"/>
      <c r="AL332" s="666"/>
      <c r="AM332" s="666"/>
      <c r="AN332" s="666"/>
      <c r="AO332" s="666"/>
      <c r="AP332" s="666"/>
      <c r="AQ332" s="666"/>
      <c r="AR332" s="666"/>
      <c r="AS332" s="666"/>
      <c r="AT332" s="666"/>
      <c r="AU332" s="666"/>
      <c r="AV332" s="666"/>
      <c r="AW332" s="666"/>
      <c r="AX332" s="666"/>
      <c r="AY332" s="666"/>
      <c r="AZ332" s="666"/>
    </row>
    <row r="333" spans="1:52" x14ac:dyDescent="0.2">
      <c r="A333" s="666"/>
      <c r="B333" s="666"/>
      <c r="C333" s="666"/>
      <c r="D333" s="677"/>
      <c r="E333" s="678"/>
      <c r="F333" s="679"/>
      <c r="G333" s="679"/>
      <c r="H333" s="678"/>
      <c r="I333" s="678"/>
      <c r="J333" s="678"/>
      <c r="K333" s="678"/>
      <c r="L333" s="678"/>
      <c r="M333" s="680"/>
      <c r="N333" s="680"/>
      <c r="O333" s="666"/>
      <c r="P333" s="666"/>
      <c r="Q333" s="666"/>
      <c r="R333" s="666"/>
      <c r="S333" s="666"/>
      <c r="T333" s="666"/>
      <c r="U333" s="666"/>
      <c r="V333" s="666"/>
      <c r="W333" s="666"/>
      <c r="X333" s="666"/>
      <c r="Y333" s="666"/>
      <c r="Z333" s="666"/>
      <c r="AA333" s="666"/>
      <c r="AB333" s="666"/>
      <c r="AC333" s="666"/>
      <c r="AD333" s="666"/>
      <c r="AE333" s="666"/>
      <c r="AF333" s="666"/>
      <c r="AG333" s="666"/>
      <c r="AH333" s="666"/>
      <c r="AI333" s="666"/>
      <c r="AJ333" s="666"/>
      <c r="AK333" s="666"/>
      <c r="AL333" s="666"/>
      <c r="AM333" s="666"/>
      <c r="AN333" s="666"/>
      <c r="AO333" s="666"/>
      <c r="AP333" s="666"/>
      <c r="AQ333" s="666"/>
      <c r="AR333" s="666"/>
      <c r="AS333" s="666"/>
      <c r="AT333" s="666"/>
      <c r="AU333" s="666"/>
      <c r="AV333" s="666"/>
      <c r="AW333" s="666"/>
      <c r="AX333" s="666"/>
      <c r="AY333" s="666"/>
      <c r="AZ333" s="666"/>
    </row>
    <row r="334" spans="1:52" x14ac:dyDescent="0.2">
      <c r="A334" s="666"/>
      <c r="B334" s="666"/>
      <c r="C334" s="666"/>
      <c r="D334" s="677"/>
      <c r="E334" s="678"/>
      <c r="F334" s="679"/>
      <c r="G334" s="679"/>
      <c r="H334" s="678"/>
      <c r="I334" s="678"/>
      <c r="J334" s="678"/>
      <c r="K334" s="678"/>
      <c r="L334" s="678"/>
      <c r="M334" s="680"/>
      <c r="N334" s="680"/>
      <c r="O334" s="666"/>
      <c r="P334" s="666"/>
      <c r="Q334" s="666"/>
      <c r="R334" s="666"/>
      <c r="S334" s="666"/>
      <c r="T334" s="666"/>
      <c r="U334" s="666"/>
      <c r="V334" s="666"/>
      <c r="W334" s="666"/>
      <c r="X334" s="666"/>
      <c r="Y334" s="666"/>
      <c r="Z334" s="666"/>
      <c r="AA334" s="666"/>
      <c r="AB334" s="666"/>
      <c r="AC334" s="666"/>
      <c r="AD334" s="666"/>
      <c r="AE334" s="666"/>
      <c r="AF334" s="666"/>
      <c r="AG334" s="666"/>
      <c r="AH334" s="666"/>
      <c r="AI334" s="666"/>
      <c r="AJ334" s="666"/>
      <c r="AK334" s="666"/>
      <c r="AL334" s="666"/>
      <c r="AM334" s="666"/>
      <c r="AN334" s="666"/>
      <c r="AO334" s="666"/>
      <c r="AP334" s="666"/>
      <c r="AQ334" s="666"/>
      <c r="AR334" s="666"/>
      <c r="AS334" s="666"/>
      <c r="AT334" s="666"/>
      <c r="AU334" s="666"/>
      <c r="AV334" s="666"/>
      <c r="AW334" s="666"/>
      <c r="AX334" s="666"/>
      <c r="AY334" s="666"/>
      <c r="AZ334" s="666"/>
    </row>
    <row r="335" spans="1:52" x14ac:dyDescent="0.2">
      <c r="A335" s="666"/>
      <c r="B335" s="666"/>
      <c r="C335" s="666"/>
      <c r="D335" s="677"/>
      <c r="E335" s="678"/>
      <c r="F335" s="679"/>
      <c r="G335" s="679"/>
      <c r="H335" s="678"/>
      <c r="I335" s="678"/>
      <c r="J335" s="678"/>
      <c r="K335" s="678"/>
      <c r="L335" s="678"/>
      <c r="M335" s="680"/>
      <c r="N335" s="680"/>
      <c r="O335" s="666"/>
      <c r="P335" s="666"/>
      <c r="Q335" s="666"/>
      <c r="R335" s="666"/>
      <c r="S335" s="666"/>
      <c r="T335" s="666"/>
      <c r="U335" s="666"/>
      <c r="V335" s="666"/>
      <c r="W335" s="666"/>
      <c r="X335" s="666"/>
      <c r="Y335" s="666"/>
      <c r="Z335" s="666"/>
      <c r="AA335" s="666"/>
      <c r="AB335" s="666"/>
      <c r="AC335" s="666"/>
      <c r="AD335" s="666"/>
      <c r="AE335" s="666"/>
      <c r="AF335" s="666"/>
      <c r="AG335" s="666"/>
      <c r="AH335" s="666"/>
      <c r="AI335" s="666"/>
      <c r="AJ335" s="666"/>
      <c r="AK335" s="666"/>
      <c r="AL335" s="666"/>
      <c r="AM335" s="666"/>
      <c r="AN335" s="666"/>
      <c r="AO335" s="666"/>
      <c r="AP335" s="666"/>
      <c r="AQ335" s="666"/>
      <c r="AR335" s="666"/>
      <c r="AS335" s="666"/>
      <c r="AT335" s="666"/>
      <c r="AU335" s="666"/>
      <c r="AV335" s="666"/>
      <c r="AW335" s="666"/>
      <c r="AX335" s="666"/>
      <c r="AY335" s="666"/>
      <c r="AZ335" s="666"/>
    </row>
    <row r="336" spans="1:52" x14ac:dyDescent="0.2">
      <c r="A336" s="666"/>
      <c r="B336" s="666"/>
      <c r="C336" s="666"/>
      <c r="D336" s="677"/>
      <c r="E336" s="678"/>
      <c r="F336" s="679"/>
      <c r="G336" s="679"/>
      <c r="H336" s="678"/>
      <c r="I336" s="678"/>
      <c r="J336" s="678"/>
      <c r="K336" s="678"/>
      <c r="L336" s="678"/>
      <c r="M336" s="680"/>
      <c r="N336" s="680"/>
      <c r="O336" s="666"/>
      <c r="P336" s="666"/>
      <c r="Q336" s="666"/>
      <c r="R336" s="666"/>
      <c r="S336" s="666"/>
      <c r="T336" s="666"/>
      <c r="U336" s="666"/>
      <c r="V336" s="666"/>
      <c r="W336" s="666"/>
      <c r="X336" s="666"/>
      <c r="Y336" s="666"/>
      <c r="Z336" s="666"/>
      <c r="AA336" s="666"/>
      <c r="AB336" s="666"/>
      <c r="AC336" s="666"/>
      <c r="AD336" s="666"/>
      <c r="AE336" s="666"/>
      <c r="AF336" s="666"/>
      <c r="AG336" s="666"/>
      <c r="AH336" s="666"/>
      <c r="AI336" s="666"/>
      <c r="AJ336" s="666"/>
      <c r="AK336" s="666"/>
      <c r="AL336" s="666"/>
      <c r="AM336" s="666"/>
      <c r="AN336" s="666"/>
      <c r="AO336" s="666"/>
      <c r="AP336" s="666"/>
      <c r="AQ336" s="666"/>
      <c r="AR336" s="666"/>
      <c r="AS336" s="666"/>
      <c r="AT336" s="666"/>
      <c r="AU336" s="666"/>
      <c r="AV336" s="666"/>
      <c r="AW336" s="666"/>
      <c r="AX336" s="666"/>
      <c r="AY336" s="666"/>
      <c r="AZ336" s="666"/>
    </row>
    <row r="337" spans="1:52" x14ac:dyDescent="0.2">
      <c r="A337" s="666"/>
      <c r="B337" s="666"/>
      <c r="C337" s="666"/>
      <c r="D337" s="677"/>
      <c r="E337" s="678"/>
      <c r="F337" s="679"/>
      <c r="G337" s="679"/>
      <c r="H337" s="678"/>
      <c r="I337" s="678"/>
      <c r="J337" s="678"/>
      <c r="K337" s="678"/>
      <c r="L337" s="678"/>
      <c r="M337" s="680"/>
      <c r="N337" s="680"/>
      <c r="O337" s="666"/>
      <c r="P337" s="666"/>
      <c r="Q337" s="666"/>
      <c r="R337" s="666"/>
      <c r="S337" s="666"/>
      <c r="T337" s="666"/>
      <c r="U337" s="666"/>
      <c r="V337" s="666"/>
      <c r="W337" s="666"/>
      <c r="X337" s="666"/>
      <c r="Y337" s="666"/>
      <c r="Z337" s="666"/>
      <c r="AA337" s="666"/>
      <c r="AB337" s="666"/>
      <c r="AC337" s="666"/>
      <c r="AD337" s="666"/>
      <c r="AE337" s="666"/>
      <c r="AF337" s="666"/>
      <c r="AG337" s="666"/>
      <c r="AH337" s="666"/>
      <c r="AI337" s="666"/>
      <c r="AJ337" s="666"/>
      <c r="AK337" s="666"/>
      <c r="AL337" s="666"/>
      <c r="AM337" s="666"/>
      <c r="AN337" s="666"/>
      <c r="AO337" s="666"/>
      <c r="AP337" s="666"/>
      <c r="AQ337" s="666"/>
      <c r="AR337" s="666"/>
      <c r="AS337" s="666"/>
      <c r="AT337" s="666"/>
      <c r="AU337" s="666"/>
      <c r="AV337" s="666"/>
      <c r="AW337" s="666"/>
      <c r="AX337" s="666"/>
      <c r="AY337" s="666"/>
      <c r="AZ337" s="666"/>
    </row>
    <row r="338" spans="1:52" x14ac:dyDescent="0.2">
      <c r="A338" s="666"/>
      <c r="B338" s="666"/>
      <c r="C338" s="666"/>
      <c r="D338" s="677"/>
      <c r="E338" s="678"/>
      <c r="F338" s="679"/>
      <c r="G338" s="679"/>
      <c r="H338" s="678"/>
      <c r="I338" s="678"/>
      <c r="J338" s="678"/>
      <c r="K338" s="678"/>
      <c r="L338" s="678"/>
      <c r="M338" s="680"/>
      <c r="N338" s="680"/>
      <c r="O338" s="666"/>
      <c r="P338" s="666"/>
      <c r="Q338" s="666"/>
      <c r="R338" s="666"/>
      <c r="S338" s="666"/>
      <c r="T338" s="666"/>
      <c r="U338" s="666"/>
      <c r="V338" s="666"/>
      <c r="W338" s="666"/>
      <c r="X338" s="666"/>
      <c r="Y338" s="666"/>
      <c r="Z338" s="666"/>
      <c r="AA338" s="666"/>
      <c r="AB338" s="666"/>
      <c r="AC338" s="666"/>
      <c r="AD338" s="666"/>
      <c r="AE338" s="666"/>
      <c r="AF338" s="666"/>
      <c r="AG338" s="666"/>
      <c r="AH338" s="666"/>
      <c r="AI338" s="666"/>
      <c r="AJ338" s="666"/>
      <c r="AK338" s="666"/>
      <c r="AL338" s="666"/>
      <c r="AM338" s="666"/>
      <c r="AN338" s="666"/>
      <c r="AO338" s="666"/>
      <c r="AP338" s="666"/>
      <c r="AQ338" s="666"/>
      <c r="AR338" s="666"/>
      <c r="AS338" s="666"/>
      <c r="AT338" s="666"/>
      <c r="AU338" s="666"/>
      <c r="AV338" s="666"/>
      <c r="AW338" s="666"/>
      <c r="AX338" s="666"/>
      <c r="AY338" s="666"/>
      <c r="AZ338" s="666"/>
    </row>
    <row r="339" spans="1:52" x14ac:dyDescent="0.2">
      <c r="A339" s="666"/>
      <c r="B339" s="666"/>
      <c r="C339" s="666"/>
      <c r="D339" s="677"/>
      <c r="E339" s="678"/>
      <c r="F339" s="679"/>
      <c r="G339" s="679"/>
      <c r="H339" s="678"/>
      <c r="I339" s="678"/>
      <c r="J339" s="678"/>
      <c r="K339" s="678"/>
      <c r="L339" s="678"/>
      <c r="M339" s="680"/>
      <c r="N339" s="680"/>
      <c r="O339" s="666"/>
      <c r="P339" s="666"/>
      <c r="Q339" s="666"/>
      <c r="R339" s="666"/>
      <c r="S339" s="666"/>
      <c r="T339" s="666"/>
      <c r="U339" s="666"/>
      <c r="V339" s="666"/>
      <c r="W339" s="666"/>
      <c r="X339" s="666"/>
      <c r="Y339" s="666"/>
      <c r="Z339" s="666"/>
      <c r="AA339" s="666"/>
      <c r="AB339" s="666"/>
      <c r="AC339" s="666"/>
      <c r="AD339" s="666"/>
      <c r="AE339" s="666"/>
      <c r="AF339" s="666"/>
      <c r="AG339" s="666"/>
      <c r="AH339" s="666"/>
      <c r="AI339" s="666"/>
      <c r="AJ339" s="666"/>
      <c r="AK339" s="666"/>
      <c r="AL339" s="666"/>
      <c r="AM339" s="666"/>
      <c r="AN339" s="666"/>
      <c r="AO339" s="666"/>
      <c r="AP339" s="666"/>
      <c r="AQ339" s="666"/>
      <c r="AR339" s="666"/>
      <c r="AS339" s="666"/>
      <c r="AT339" s="666"/>
      <c r="AU339" s="666"/>
      <c r="AV339" s="666"/>
      <c r="AW339" s="666"/>
      <c r="AX339" s="666"/>
      <c r="AY339" s="666"/>
      <c r="AZ339" s="666"/>
    </row>
    <row r="340" spans="1:52" x14ac:dyDescent="0.2">
      <c r="A340" s="666"/>
      <c r="B340" s="666"/>
      <c r="C340" s="666"/>
      <c r="D340" s="677"/>
      <c r="E340" s="678"/>
      <c r="F340" s="679"/>
      <c r="G340" s="679"/>
      <c r="H340" s="678"/>
      <c r="I340" s="678"/>
      <c r="J340" s="678"/>
      <c r="K340" s="678"/>
      <c r="L340" s="678"/>
      <c r="M340" s="680"/>
      <c r="N340" s="680"/>
      <c r="O340" s="666"/>
      <c r="P340" s="666"/>
      <c r="Q340" s="666"/>
      <c r="R340" s="666"/>
      <c r="S340" s="666"/>
      <c r="T340" s="666"/>
      <c r="U340" s="666"/>
      <c r="V340" s="666"/>
      <c r="W340" s="666"/>
      <c r="X340" s="666"/>
      <c r="Y340" s="666"/>
      <c r="Z340" s="666"/>
      <c r="AA340" s="666"/>
      <c r="AB340" s="666"/>
      <c r="AC340" s="666"/>
      <c r="AD340" s="666"/>
      <c r="AE340" s="666"/>
      <c r="AF340" s="666"/>
      <c r="AG340" s="666"/>
      <c r="AH340" s="666"/>
      <c r="AI340" s="666"/>
      <c r="AJ340" s="666"/>
      <c r="AK340" s="666"/>
      <c r="AL340" s="666"/>
      <c r="AM340" s="666"/>
      <c r="AN340" s="666"/>
      <c r="AO340" s="666"/>
      <c r="AP340" s="666"/>
      <c r="AQ340" s="666"/>
      <c r="AR340" s="666"/>
      <c r="AS340" s="666"/>
      <c r="AT340" s="666"/>
      <c r="AU340" s="666"/>
      <c r="AV340" s="666"/>
      <c r="AW340" s="666"/>
      <c r="AX340" s="666"/>
      <c r="AY340" s="666"/>
      <c r="AZ340" s="666"/>
    </row>
    <row r="341" spans="1:52" x14ac:dyDescent="0.2">
      <c r="A341" s="666"/>
      <c r="B341" s="666"/>
      <c r="C341" s="666"/>
      <c r="D341" s="677"/>
      <c r="E341" s="678"/>
      <c r="F341" s="679"/>
      <c r="G341" s="679"/>
      <c r="H341" s="678"/>
      <c r="I341" s="678"/>
      <c r="J341" s="678"/>
      <c r="K341" s="678"/>
      <c r="L341" s="678"/>
      <c r="M341" s="680"/>
      <c r="N341" s="680"/>
      <c r="O341" s="666"/>
      <c r="P341" s="666"/>
      <c r="Q341" s="666"/>
      <c r="R341" s="666"/>
      <c r="S341" s="666"/>
      <c r="T341" s="666"/>
      <c r="U341" s="666"/>
      <c r="V341" s="666"/>
      <c r="W341" s="666"/>
      <c r="X341" s="666"/>
      <c r="Y341" s="666"/>
      <c r="Z341" s="666"/>
      <c r="AA341" s="666"/>
      <c r="AB341" s="666"/>
      <c r="AC341" s="666"/>
      <c r="AD341" s="666"/>
      <c r="AE341" s="666"/>
      <c r="AF341" s="666"/>
      <c r="AG341" s="666"/>
      <c r="AH341" s="666"/>
      <c r="AI341" s="666"/>
      <c r="AJ341" s="666"/>
      <c r="AK341" s="666"/>
      <c r="AL341" s="666"/>
      <c r="AM341" s="666"/>
      <c r="AN341" s="666"/>
      <c r="AO341" s="666"/>
      <c r="AP341" s="666"/>
      <c r="AQ341" s="666"/>
      <c r="AR341" s="666"/>
      <c r="AS341" s="666"/>
      <c r="AT341" s="666"/>
      <c r="AU341" s="666"/>
      <c r="AV341" s="666"/>
      <c r="AW341" s="666"/>
      <c r="AX341" s="666"/>
      <c r="AY341" s="666"/>
      <c r="AZ341" s="666"/>
    </row>
    <row r="342" spans="1:52" x14ac:dyDescent="0.2">
      <c r="A342" s="666"/>
      <c r="B342" s="666"/>
      <c r="C342" s="666"/>
      <c r="D342" s="677"/>
      <c r="E342" s="678"/>
      <c r="F342" s="679"/>
      <c r="G342" s="679"/>
      <c r="H342" s="678"/>
      <c r="I342" s="678"/>
      <c r="J342" s="678"/>
      <c r="K342" s="678"/>
      <c r="L342" s="678"/>
      <c r="M342" s="680"/>
      <c r="N342" s="680"/>
      <c r="O342" s="666"/>
      <c r="P342" s="666"/>
      <c r="Q342" s="666"/>
      <c r="R342" s="666"/>
      <c r="S342" s="666"/>
      <c r="T342" s="666"/>
      <c r="U342" s="666"/>
      <c r="V342" s="666"/>
      <c r="W342" s="666"/>
      <c r="X342" s="666"/>
      <c r="Y342" s="666"/>
      <c r="Z342" s="666"/>
      <c r="AA342" s="666"/>
      <c r="AB342" s="666"/>
      <c r="AC342" s="666"/>
      <c r="AD342" s="666"/>
      <c r="AE342" s="666"/>
      <c r="AF342" s="666"/>
      <c r="AG342" s="666"/>
      <c r="AH342" s="666"/>
      <c r="AI342" s="666"/>
      <c r="AJ342" s="666"/>
      <c r="AK342" s="666"/>
      <c r="AL342" s="666"/>
      <c r="AM342" s="666"/>
      <c r="AN342" s="666"/>
      <c r="AO342" s="666"/>
      <c r="AP342" s="666"/>
      <c r="AQ342" s="666"/>
      <c r="AR342" s="666"/>
      <c r="AS342" s="666"/>
      <c r="AT342" s="666"/>
      <c r="AU342" s="666"/>
      <c r="AV342" s="666"/>
      <c r="AW342" s="666"/>
      <c r="AX342" s="666"/>
      <c r="AY342" s="666"/>
      <c r="AZ342" s="666"/>
    </row>
    <row r="343" spans="1:52" x14ac:dyDescent="0.2">
      <c r="A343" s="666"/>
      <c r="B343" s="666"/>
      <c r="C343" s="666"/>
      <c r="D343" s="677"/>
      <c r="E343" s="678"/>
      <c r="F343" s="679"/>
      <c r="G343" s="679"/>
      <c r="H343" s="678"/>
      <c r="I343" s="678"/>
      <c r="J343" s="678"/>
      <c r="K343" s="678"/>
      <c r="L343" s="678"/>
      <c r="M343" s="680"/>
      <c r="N343" s="680"/>
      <c r="O343" s="666"/>
      <c r="P343" s="666"/>
      <c r="Q343" s="666"/>
      <c r="R343" s="666"/>
      <c r="S343" s="666"/>
      <c r="T343" s="666"/>
      <c r="U343" s="666"/>
      <c r="V343" s="666"/>
      <c r="W343" s="666"/>
      <c r="X343" s="666"/>
      <c r="Y343" s="666"/>
      <c r="Z343" s="666"/>
      <c r="AA343" s="666"/>
      <c r="AB343" s="666"/>
      <c r="AC343" s="666"/>
      <c r="AD343" s="666"/>
      <c r="AE343" s="666"/>
      <c r="AF343" s="666"/>
      <c r="AG343" s="666"/>
      <c r="AH343" s="666"/>
      <c r="AI343" s="666"/>
      <c r="AJ343" s="666"/>
      <c r="AK343" s="666"/>
      <c r="AL343" s="666"/>
      <c r="AM343" s="666"/>
      <c r="AN343" s="666"/>
      <c r="AO343" s="666"/>
      <c r="AP343" s="666"/>
      <c r="AQ343" s="666"/>
      <c r="AR343" s="666"/>
      <c r="AS343" s="666"/>
      <c r="AT343" s="666"/>
      <c r="AU343" s="666"/>
      <c r="AV343" s="666"/>
      <c r="AW343" s="666"/>
      <c r="AX343" s="666"/>
      <c r="AY343" s="666"/>
      <c r="AZ343" s="666"/>
    </row>
    <row r="344" spans="1:52" x14ac:dyDescent="0.2">
      <c r="A344" s="666"/>
      <c r="B344" s="666"/>
      <c r="C344" s="666"/>
      <c r="D344" s="677"/>
      <c r="E344" s="678"/>
      <c r="F344" s="679"/>
      <c r="G344" s="679"/>
      <c r="H344" s="678"/>
      <c r="I344" s="678"/>
      <c r="J344" s="678"/>
      <c r="K344" s="678"/>
      <c r="L344" s="678"/>
      <c r="M344" s="680"/>
      <c r="N344" s="680"/>
      <c r="O344" s="666"/>
      <c r="P344" s="666"/>
      <c r="Q344" s="666"/>
      <c r="R344" s="666"/>
      <c r="S344" s="666"/>
      <c r="T344" s="666"/>
      <c r="U344" s="666"/>
      <c r="V344" s="666"/>
      <c r="W344" s="666"/>
      <c r="X344" s="666"/>
      <c r="Y344" s="666"/>
      <c r="Z344" s="666"/>
      <c r="AA344" s="666"/>
      <c r="AB344" s="666"/>
      <c r="AC344" s="666"/>
      <c r="AD344" s="666"/>
      <c r="AE344" s="666"/>
      <c r="AF344" s="666"/>
      <c r="AG344" s="666"/>
      <c r="AH344" s="666"/>
      <c r="AI344" s="666"/>
      <c r="AJ344" s="666"/>
      <c r="AK344" s="666"/>
      <c r="AL344" s="666"/>
      <c r="AM344" s="666"/>
      <c r="AN344" s="666"/>
      <c r="AO344" s="666"/>
      <c r="AP344" s="666"/>
      <c r="AQ344" s="666"/>
      <c r="AR344" s="666"/>
      <c r="AS344" s="666"/>
      <c r="AT344" s="666"/>
      <c r="AU344" s="666"/>
      <c r="AV344" s="666"/>
      <c r="AW344" s="666"/>
      <c r="AX344" s="666"/>
      <c r="AY344" s="666"/>
      <c r="AZ344" s="666"/>
    </row>
    <row r="345" spans="1:52" x14ac:dyDescent="0.2">
      <c r="A345" s="666"/>
      <c r="B345" s="666"/>
      <c r="C345" s="666"/>
      <c r="D345" s="677"/>
      <c r="E345" s="678"/>
      <c r="F345" s="679"/>
      <c r="G345" s="679"/>
      <c r="H345" s="678"/>
      <c r="I345" s="678"/>
      <c r="J345" s="678"/>
      <c r="K345" s="678"/>
      <c r="L345" s="678"/>
      <c r="M345" s="680"/>
      <c r="N345" s="680"/>
      <c r="O345" s="666"/>
      <c r="P345" s="666"/>
      <c r="Q345" s="666"/>
      <c r="R345" s="666"/>
      <c r="S345" s="666"/>
      <c r="T345" s="666"/>
      <c r="U345" s="666"/>
      <c r="V345" s="666"/>
      <c r="W345" s="666"/>
      <c r="X345" s="666"/>
      <c r="Y345" s="666"/>
      <c r="Z345" s="666"/>
      <c r="AA345" s="666"/>
      <c r="AB345" s="666"/>
      <c r="AC345" s="666"/>
      <c r="AD345" s="666"/>
      <c r="AE345" s="666"/>
      <c r="AF345" s="666"/>
      <c r="AG345" s="666"/>
      <c r="AH345" s="666"/>
      <c r="AI345" s="666"/>
      <c r="AJ345" s="666"/>
      <c r="AK345" s="666"/>
      <c r="AL345" s="666"/>
      <c r="AM345" s="666"/>
      <c r="AN345" s="666"/>
      <c r="AO345" s="666"/>
      <c r="AP345" s="666"/>
      <c r="AQ345" s="666"/>
      <c r="AR345" s="666"/>
      <c r="AS345" s="666"/>
      <c r="AT345" s="666"/>
      <c r="AU345" s="666"/>
      <c r="AV345" s="666"/>
      <c r="AW345" s="666"/>
      <c r="AX345" s="666"/>
      <c r="AY345" s="666"/>
      <c r="AZ345" s="666"/>
    </row>
  </sheetData>
  <sheetProtection insertRows="0"/>
  <mergeCells count="6">
    <mergeCell ref="R2:T2"/>
    <mergeCell ref="B2:B4"/>
    <mergeCell ref="M3:P3"/>
    <mergeCell ref="E2:G2"/>
    <mergeCell ref="H2:J2"/>
    <mergeCell ref="K2:P2"/>
  </mergeCells>
  <dataValidations count="7">
    <dataValidation type="whole" operator="lessThan" allowBlank="1" showInputMessage="1" showErrorMessage="1" sqref="A9 B57:B58 B130:B131 B139:B140 B192:B193" xr:uid="{832905E6-3C05-4282-829E-86134E587226}">
      <formula1>-99999</formula1>
    </dataValidation>
    <dataValidation type="whole" operator="lessThan" allowBlank="1" showInputMessage="1" showErrorMessage="1" sqref="A5:A8 A10:A56" xr:uid="{22E20F71-A463-4634-A94A-937701AE1007}">
      <formula1>-9999999</formula1>
    </dataValidation>
    <dataValidation type="whole" operator="lessThan" allowBlank="1" showInputMessage="1" showErrorMessage="1" sqref="A57:A58" xr:uid="{49238A3E-53C4-4C1F-8E9D-06B3DA5BEBB3}">
      <formula1>-9.99999999999999E+25</formula1>
    </dataValidation>
    <dataValidation type="whole" operator="lessThan" allowBlank="1" showInputMessage="1" showErrorMessage="1" sqref="J132:J138 J5:J129 J141:J191 J197:J246 J250:J251" xr:uid="{0FEE1A23-A0CB-4EFA-AAA1-C2F1037CA829}">
      <formula1>-9.99999999999999E+30</formula1>
    </dataValidation>
    <dataValidation operator="lessThan" allowBlank="1" showInputMessage="1" showErrorMessage="1" sqref="B5:B56 B248:T248 B253:T253 B59:B129 B132:B138 B141:B191" xr:uid="{CDD3EDED-DED0-4716-A35A-657D0C905EED}"/>
    <dataValidation allowBlank="1" showErrorMessage="1" sqref="B250:B251 B197:B247" xr:uid="{8D042D54-FB6E-4C88-B9C6-5B4591610809}"/>
    <dataValidation allowBlank="1" showInputMessage="1" showErrorMessage="1" promptTitle="ACHTUNG!" prompt="Hier nur die Anzahl an Tagen eintragen, für die Diäten bezogen werden." sqref="K5 L5 M5 N5 O5 P5" xr:uid="{29E655D3-0B82-41B3-B6C9-16803BD7AFA4}"/>
  </dataValidations>
  <printOptions horizontalCentered="1"/>
  <pageMargins left="1.1811023622047245" right="0.78740157480314965" top="1.1811023622047245" bottom="0.78740157480314965" header="0.51181102362204722" footer="0.51181102362204722"/>
  <pageSetup paperSize="9" scale="43"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51"/>
  <sheetViews>
    <sheetView workbookViewId="0">
      <selection activeCell="C26" sqref="C26"/>
    </sheetView>
  </sheetViews>
  <sheetFormatPr baseColWidth="10" defaultColWidth="11.5" defaultRowHeight="15" outlineLevelCol="1" x14ac:dyDescent="0.2"/>
  <cols>
    <col min="1" max="1" width="4.125" style="57" customWidth="1"/>
    <col min="2" max="2" width="15.625" style="58" customWidth="1"/>
    <col min="3" max="3" width="10.125" style="58" customWidth="1"/>
    <col min="4" max="4" width="10.125" style="59" customWidth="1"/>
    <col min="5" max="5" width="10.125" style="60" customWidth="1"/>
    <col min="6" max="6" width="10.125" style="56" customWidth="1"/>
    <col min="7" max="7" width="10.125" style="58" bestFit="1" customWidth="1"/>
    <col min="8" max="8" width="10.125" style="56" customWidth="1"/>
    <col min="9" max="9" width="11.375" style="101" customWidth="1"/>
    <col min="10" max="10" width="2.625" style="58" customWidth="1"/>
    <col min="11" max="13" width="10.375" style="101" hidden="1" customWidth="1" outlineLevel="1"/>
    <col min="14" max="14" width="6.75" style="59" customWidth="1" collapsed="1"/>
    <col min="15" max="16" width="11.5" style="58" customWidth="1"/>
    <col min="17" max="17" width="64" style="108" hidden="1" customWidth="1"/>
    <col min="18" max="18" width="46" style="108" hidden="1" customWidth="1"/>
    <col min="19" max="21" width="12.125" style="58" customWidth="1"/>
    <col min="22" max="16384" width="11.5" style="58"/>
  </cols>
  <sheetData>
    <row r="1" spans="1:52" s="48" customFormat="1" ht="18" x14ac:dyDescent="0.25">
      <c r="A1" s="301" t="str">
        <f>Stammblatt!A1</f>
        <v>Projekttitel</v>
      </c>
      <c r="B1" s="917"/>
      <c r="C1" s="917"/>
      <c r="D1" s="918"/>
      <c r="E1" s="919"/>
      <c r="F1" s="920"/>
      <c r="G1" s="917"/>
      <c r="H1" s="920"/>
      <c r="I1" s="921"/>
      <c r="J1" s="917"/>
      <c r="K1" s="921"/>
      <c r="L1" s="921"/>
      <c r="M1" s="921"/>
      <c r="N1" s="918"/>
      <c r="O1" s="917"/>
      <c r="P1" s="917"/>
      <c r="Q1" s="941" t="s">
        <v>110</v>
      </c>
      <c r="R1" s="941" t="s">
        <v>529</v>
      </c>
      <c r="S1" s="942"/>
      <c r="T1" s="917"/>
      <c r="U1" s="917"/>
      <c r="V1" s="917"/>
      <c r="W1" s="917"/>
      <c r="X1" s="917"/>
      <c r="Y1" s="917"/>
      <c r="Z1" s="917"/>
      <c r="AA1" s="917"/>
      <c r="AB1" s="917"/>
      <c r="AC1" s="917"/>
      <c r="AD1" s="917"/>
      <c r="AE1" s="917"/>
      <c r="AF1" s="917"/>
      <c r="AG1" s="917"/>
      <c r="AH1" s="917"/>
      <c r="AI1" s="917"/>
      <c r="AJ1" s="917"/>
      <c r="AK1" s="917"/>
      <c r="AL1" s="917"/>
      <c r="AM1" s="917"/>
      <c r="AN1" s="917"/>
      <c r="AO1" s="917"/>
      <c r="AP1" s="917"/>
      <c r="AQ1" s="917"/>
      <c r="AR1" s="917"/>
      <c r="AS1" s="917"/>
      <c r="AT1" s="917"/>
      <c r="AU1" s="917"/>
      <c r="AV1" s="917"/>
      <c r="AW1" s="917"/>
      <c r="AX1" s="917"/>
      <c r="AY1" s="917"/>
      <c r="AZ1" s="917"/>
    </row>
    <row r="2" spans="1:52" s="48" customFormat="1" ht="18" x14ac:dyDescent="0.25">
      <c r="A2" s="306" t="str">
        <f>IF(Stammblatt!$L$4=1,"Anlage zu 10) Reise- und Transportkosten","Appendix to 10) Travel expenses and transportation costs")</f>
        <v>Anlage zu 10) Reise- und Transportkosten</v>
      </c>
      <c r="B2" s="917"/>
      <c r="C2" s="917"/>
      <c r="D2" s="918"/>
      <c r="E2" s="919"/>
      <c r="F2" s="920"/>
      <c r="G2" s="917"/>
      <c r="H2" s="920"/>
      <c r="I2" s="921"/>
      <c r="J2" s="917"/>
      <c r="K2" s="921"/>
      <c r="L2" s="921"/>
      <c r="M2" s="921"/>
      <c r="N2" s="918"/>
      <c r="O2" s="917"/>
      <c r="P2" s="917"/>
      <c r="Q2" s="941" t="s">
        <v>44</v>
      </c>
      <c r="R2" s="941" t="s">
        <v>513</v>
      </c>
      <c r="S2" s="942"/>
      <c r="T2" s="917"/>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c r="AT2" s="917"/>
      <c r="AU2" s="917"/>
      <c r="AV2" s="917"/>
      <c r="AW2" s="917"/>
      <c r="AX2" s="917"/>
      <c r="AY2" s="917"/>
      <c r="AZ2" s="917"/>
    </row>
    <row r="3" spans="1:52" s="49" customFormat="1" ht="12.75" x14ac:dyDescent="0.2">
      <c r="A3" s="923"/>
      <c r="B3" s="924"/>
      <c r="C3" s="924"/>
      <c r="D3" s="925"/>
      <c r="E3" s="926"/>
      <c r="F3" s="927"/>
      <c r="G3" s="924"/>
      <c r="H3" s="927"/>
      <c r="I3" s="928"/>
      <c r="J3" s="924"/>
      <c r="K3" s="928"/>
      <c r="L3" s="928"/>
      <c r="M3" s="928"/>
      <c r="N3" s="925"/>
      <c r="O3" s="929"/>
      <c r="P3" s="929"/>
      <c r="Q3" s="941" t="s">
        <v>43</v>
      </c>
      <c r="R3" s="941" t="s">
        <v>530</v>
      </c>
      <c r="S3" s="941"/>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row>
    <row r="4" spans="1:52" s="50" customFormat="1" ht="12.75" x14ac:dyDescent="0.2">
      <c r="A4" s="923">
        <v>144</v>
      </c>
      <c r="B4" s="930" t="str">
        <f>IF(Stammblatt!$L$4=1,Q4,R4)</f>
        <v xml:space="preserve">Fahrtkosten </v>
      </c>
      <c r="C4" s="924"/>
      <c r="D4" s="925"/>
      <c r="E4" s="926"/>
      <c r="F4" s="927"/>
      <c r="G4" s="924"/>
      <c r="H4" s="927"/>
      <c r="I4" s="931">
        <f>IF(Stammblatt!I32=1,"",Stammblatt!B11)</f>
        <v>0</v>
      </c>
      <c r="J4" s="926"/>
      <c r="K4" s="938" t="str">
        <f>Stammblatt!B34</f>
        <v>A</v>
      </c>
      <c r="L4" s="938" t="str">
        <f>Stammblatt!B35</f>
        <v>B</v>
      </c>
      <c r="M4" s="938" t="str">
        <f>Stammblatt!B36</f>
        <v>C</v>
      </c>
      <c r="N4" s="925"/>
      <c r="O4" s="932"/>
      <c r="P4" s="932"/>
      <c r="Q4" s="941" t="s">
        <v>108</v>
      </c>
      <c r="R4" s="941" t="s">
        <v>419</v>
      </c>
      <c r="S4" s="941"/>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row>
    <row r="5" spans="1:52" s="50" customFormat="1" ht="12.75" x14ac:dyDescent="0.2">
      <c r="A5" s="923"/>
      <c r="B5" s="933"/>
      <c r="C5" s="924"/>
      <c r="D5" s="925"/>
      <c r="E5" s="926"/>
      <c r="F5" s="927"/>
      <c r="G5" s="924"/>
      <c r="H5" s="927"/>
      <c r="I5" s="928"/>
      <c r="J5" s="924"/>
      <c r="K5" s="928"/>
      <c r="L5" s="928"/>
      <c r="M5" s="928"/>
      <c r="N5" s="925"/>
      <c r="O5" s="932"/>
      <c r="P5" s="932"/>
      <c r="Q5" s="941"/>
      <c r="R5" s="941"/>
      <c r="S5" s="941"/>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2"/>
      <c r="AR5" s="932"/>
      <c r="AS5" s="932"/>
      <c r="AT5" s="932"/>
      <c r="AU5" s="932"/>
      <c r="AV5" s="932"/>
      <c r="AW5" s="932"/>
      <c r="AX5" s="932"/>
      <c r="AY5" s="932"/>
      <c r="AZ5" s="932"/>
    </row>
    <row r="6" spans="1:52" s="49" customFormat="1" ht="12.75" x14ac:dyDescent="0.2">
      <c r="A6" s="923"/>
      <c r="B6" s="924" t="str">
        <f>IF(Stammblatt!$L$4=1,Q6,R6)</f>
        <v>km-Gelder</v>
      </c>
      <c r="C6" s="924"/>
      <c r="D6" s="925"/>
      <c r="E6" s="926"/>
      <c r="F6" s="927"/>
      <c r="G6" s="924"/>
      <c r="H6" s="927"/>
      <c r="I6" s="928"/>
      <c r="J6" s="924"/>
      <c r="K6" s="928"/>
      <c r="L6" s="928"/>
      <c r="M6" s="928"/>
      <c r="N6" s="925"/>
      <c r="O6" s="929"/>
      <c r="P6" s="929"/>
      <c r="Q6" s="941" t="s">
        <v>516</v>
      </c>
      <c r="R6" s="941" t="s">
        <v>517</v>
      </c>
      <c r="S6" s="941"/>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row>
    <row r="7" spans="1:52" s="49" customFormat="1" ht="12.75" x14ac:dyDescent="0.2">
      <c r="A7" s="923"/>
      <c r="B7" s="934" t="str">
        <f>IF(Stammblatt!$L$4=1,Q7,R7)</f>
        <v>Stab</v>
      </c>
      <c r="C7" s="955">
        <f>Stab_Cast_Ö_Reisekosten!D193</f>
        <v>0</v>
      </c>
      <c r="D7" s="927" t="s">
        <v>109</v>
      </c>
      <c r="E7" s="926"/>
      <c r="F7" s="926"/>
      <c r="G7" s="935">
        <f>km_Geld</f>
        <v>0.42</v>
      </c>
      <c r="H7" s="927" t="str">
        <f>IF(Stammblatt!$L$4=1,$Q$1,$R$1)</f>
        <v>je Einheit</v>
      </c>
      <c r="I7" s="936">
        <f>C7*G7</f>
        <v>0</v>
      </c>
      <c r="J7" s="937"/>
      <c r="K7" s="99"/>
      <c r="L7" s="99"/>
      <c r="M7" s="99"/>
      <c r="N7" s="925"/>
      <c r="O7" s="929"/>
      <c r="P7" s="929"/>
      <c r="Q7" s="941" t="s">
        <v>199</v>
      </c>
      <c r="R7" s="941" t="s">
        <v>518</v>
      </c>
      <c r="S7" s="941"/>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row>
    <row r="8" spans="1:52" s="49" customFormat="1" ht="12.75" x14ac:dyDescent="0.2">
      <c r="A8" s="923"/>
      <c r="B8" s="934" t="str">
        <f>IF(Stammblatt!$L$4=1,Q8,R8)</f>
        <v>Darsteller</v>
      </c>
      <c r="C8" s="955">
        <f>Stab_Cast_Ö_Reisekosten!D248</f>
        <v>0</v>
      </c>
      <c r="D8" s="927" t="s">
        <v>109</v>
      </c>
      <c r="E8" s="926"/>
      <c r="F8" s="926"/>
      <c r="G8" s="935">
        <f>km_Geld</f>
        <v>0.42</v>
      </c>
      <c r="H8" s="927" t="str">
        <f>IF(Stammblatt!$L$4=1,$Q$1,$R$1)</f>
        <v>je Einheit</v>
      </c>
      <c r="I8" s="936">
        <f>C8*G8</f>
        <v>0</v>
      </c>
      <c r="J8" s="937"/>
      <c r="K8" s="99"/>
      <c r="L8" s="99"/>
      <c r="M8" s="99"/>
      <c r="N8" s="925"/>
      <c r="O8" s="929"/>
      <c r="P8" s="929"/>
      <c r="Q8" s="941" t="s">
        <v>152</v>
      </c>
      <c r="R8" s="941" t="s">
        <v>519</v>
      </c>
      <c r="S8" s="941"/>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29"/>
      <c r="AY8" s="929"/>
      <c r="AZ8" s="929"/>
    </row>
    <row r="9" spans="1:52" s="49" customFormat="1" ht="12.75" x14ac:dyDescent="0.2">
      <c r="A9" s="923"/>
      <c r="B9" s="934" t="str">
        <f>IF(Stammblatt!$L$4=1,Q9,R9)</f>
        <v>Sonstige</v>
      </c>
      <c r="C9" s="956"/>
      <c r="D9" s="927" t="s">
        <v>109</v>
      </c>
      <c r="E9" s="926"/>
      <c r="F9" s="926"/>
      <c r="G9" s="935">
        <f>km_Geld</f>
        <v>0.42</v>
      </c>
      <c r="H9" s="927" t="str">
        <f>IF(Stammblatt!$L$4=1,$Q$1,$R$1)</f>
        <v>je Einheit</v>
      </c>
      <c r="I9" s="936">
        <f>C9*G9</f>
        <v>0</v>
      </c>
      <c r="J9" s="937"/>
      <c r="K9" s="99"/>
      <c r="L9" s="99"/>
      <c r="M9" s="99"/>
      <c r="N9" s="925"/>
      <c r="O9" s="929"/>
      <c r="P9" s="929"/>
      <c r="Q9" s="941" t="s">
        <v>200</v>
      </c>
      <c r="R9" s="941" t="s">
        <v>371</v>
      </c>
      <c r="S9" s="941"/>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row>
    <row r="10" spans="1:52" s="49" customFormat="1" ht="12.75" x14ac:dyDescent="0.2">
      <c r="A10" s="923"/>
      <c r="B10" s="934"/>
      <c r="C10" s="934"/>
      <c r="D10" s="927"/>
      <c r="E10" s="926"/>
      <c r="F10" s="926"/>
      <c r="G10" s="937"/>
      <c r="H10" s="927"/>
      <c r="I10" s="936"/>
      <c r="J10" s="937"/>
      <c r="K10" s="936"/>
      <c r="L10" s="936"/>
      <c r="M10" s="936"/>
      <c r="N10" s="925"/>
      <c r="O10" s="929"/>
      <c r="P10" s="929"/>
      <c r="Q10" s="941"/>
      <c r="R10" s="941"/>
      <c r="S10" s="941"/>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row>
    <row r="11" spans="1:52" s="49" customFormat="1" ht="12.75" x14ac:dyDescent="0.2">
      <c r="A11" s="923"/>
      <c r="B11" s="924" t="str">
        <f>IF(Stammblatt!$L$4=1,Q11,R11)</f>
        <v>Flüge</v>
      </c>
      <c r="C11" s="924"/>
      <c r="D11" s="927"/>
      <c r="E11" s="926"/>
      <c r="F11" s="927"/>
      <c r="G11" s="924"/>
      <c r="H11" s="927"/>
      <c r="I11" s="928"/>
      <c r="J11" s="924"/>
      <c r="K11" s="928"/>
      <c r="L11" s="928"/>
      <c r="M11" s="928"/>
      <c r="N11" s="925"/>
      <c r="O11" s="929"/>
      <c r="P11" s="929"/>
      <c r="Q11" s="941" t="s">
        <v>249</v>
      </c>
      <c r="R11" s="941" t="s">
        <v>520</v>
      </c>
      <c r="S11" s="941"/>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row>
    <row r="12" spans="1:52" s="49" customFormat="1" ht="12.75" x14ac:dyDescent="0.2">
      <c r="A12" s="923"/>
      <c r="B12" s="934" t="str">
        <f>IF(Stammblatt!$L$4=1,Q12,R12)</f>
        <v>Stab</v>
      </c>
      <c r="C12" s="924"/>
      <c r="D12" s="927"/>
      <c r="E12" s="926"/>
      <c r="F12" s="927"/>
      <c r="G12" s="924"/>
      <c r="H12" s="927"/>
      <c r="I12" s="936">
        <f>Stab_Cast_Ö_Reisekosten!G193</f>
        <v>0</v>
      </c>
      <c r="J12" s="937"/>
      <c r="K12" s="99"/>
      <c r="L12" s="99"/>
      <c r="M12" s="99"/>
      <c r="N12" s="925"/>
      <c r="O12" s="929"/>
      <c r="P12" s="929"/>
      <c r="Q12" s="941" t="s">
        <v>199</v>
      </c>
      <c r="R12" s="941" t="s">
        <v>518</v>
      </c>
      <c r="S12" s="941"/>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row>
    <row r="13" spans="1:52" s="49" customFormat="1" ht="12.75" x14ac:dyDescent="0.2">
      <c r="A13" s="923"/>
      <c r="B13" s="934" t="str">
        <f>IF(Stammblatt!$L$4=1,Q13,R13)</f>
        <v>Darsteller</v>
      </c>
      <c r="C13" s="924"/>
      <c r="D13" s="927"/>
      <c r="E13" s="926"/>
      <c r="F13" s="927"/>
      <c r="G13" s="924"/>
      <c r="H13" s="927"/>
      <c r="I13" s="936">
        <f>Stab_Cast_Ö_Reisekosten!G248</f>
        <v>0</v>
      </c>
      <c r="J13" s="937"/>
      <c r="K13" s="99"/>
      <c r="L13" s="99"/>
      <c r="M13" s="99"/>
      <c r="N13" s="925"/>
      <c r="O13" s="929"/>
      <c r="P13" s="929"/>
      <c r="Q13" s="941" t="s">
        <v>152</v>
      </c>
      <c r="R13" s="941" t="s">
        <v>519</v>
      </c>
      <c r="S13" s="941"/>
      <c r="T13" s="929"/>
      <c r="U13" s="929"/>
      <c r="V13" s="929"/>
      <c r="W13" s="929"/>
      <c r="X13" s="929"/>
      <c r="Y13" s="929"/>
      <c r="Z13" s="929"/>
      <c r="AA13" s="929"/>
      <c r="AB13" s="929"/>
      <c r="AC13" s="929"/>
      <c r="AD13" s="929"/>
      <c r="AE13" s="929"/>
      <c r="AF13" s="929"/>
      <c r="AG13" s="929"/>
      <c r="AH13" s="929"/>
      <c r="AI13" s="929"/>
      <c r="AJ13" s="929"/>
      <c r="AK13" s="929"/>
      <c r="AL13" s="929"/>
      <c r="AM13" s="929"/>
      <c r="AN13" s="929"/>
      <c r="AO13" s="929"/>
      <c r="AP13" s="929"/>
      <c r="AQ13" s="929"/>
      <c r="AR13" s="929"/>
      <c r="AS13" s="929"/>
      <c r="AT13" s="929"/>
      <c r="AU13" s="929"/>
      <c r="AV13" s="929"/>
      <c r="AW13" s="929"/>
      <c r="AX13" s="929"/>
      <c r="AY13" s="929"/>
      <c r="AZ13" s="929"/>
    </row>
    <row r="14" spans="1:52" s="49" customFormat="1" ht="12.75" x14ac:dyDescent="0.2">
      <c r="A14" s="923"/>
      <c r="B14" s="934" t="str">
        <f>IF(Stammblatt!$L$4=1,Q14,R14)</f>
        <v>Sonstige</v>
      </c>
      <c r="C14" s="67">
        <v>0</v>
      </c>
      <c r="D14" s="927" t="str">
        <f>IF(Stammblatt!$L$4=1,"x Flüge für:","x flights for")</f>
        <v>x Flüge für:</v>
      </c>
      <c r="E14" s="957" t="s">
        <v>1062</v>
      </c>
      <c r="F14" s="957"/>
      <c r="G14" s="69">
        <v>0</v>
      </c>
      <c r="H14" s="927" t="str">
        <f>IF(Stammblatt!$L$4=1,$Q$1,$R$1)</f>
        <v>je Einheit</v>
      </c>
      <c r="I14" s="936">
        <f>C14*G14</f>
        <v>0</v>
      </c>
      <c r="J14" s="937"/>
      <c r="K14" s="99"/>
      <c r="L14" s="99"/>
      <c r="M14" s="99"/>
      <c r="N14" s="925"/>
      <c r="O14" s="929"/>
      <c r="P14" s="929"/>
      <c r="Q14" s="941" t="s">
        <v>200</v>
      </c>
      <c r="R14" s="941" t="s">
        <v>371</v>
      </c>
      <c r="S14" s="941"/>
      <c r="T14" s="929"/>
      <c r="U14" s="929"/>
      <c r="V14" s="929"/>
      <c r="W14" s="929"/>
      <c r="X14" s="929"/>
      <c r="Y14" s="929"/>
      <c r="Z14" s="929"/>
      <c r="AA14" s="929"/>
      <c r="AB14" s="929"/>
      <c r="AC14" s="929"/>
      <c r="AD14" s="929"/>
      <c r="AE14" s="929"/>
      <c r="AF14" s="929"/>
      <c r="AG14" s="929"/>
      <c r="AH14" s="929"/>
      <c r="AI14" s="929"/>
      <c r="AJ14" s="929"/>
      <c r="AK14" s="929"/>
      <c r="AL14" s="929"/>
      <c r="AM14" s="929"/>
      <c r="AN14" s="929"/>
      <c r="AO14" s="929"/>
      <c r="AP14" s="929"/>
      <c r="AQ14" s="929"/>
      <c r="AR14" s="929"/>
      <c r="AS14" s="929"/>
      <c r="AT14" s="929"/>
      <c r="AU14" s="929"/>
      <c r="AV14" s="929"/>
      <c r="AW14" s="929"/>
      <c r="AX14" s="929"/>
      <c r="AY14" s="929"/>
      <c r="AZ14" s="929"/>
    </row>
    <row r="15" spans="1:52" s="49" customFormat="1" ht="12.75" x14ac:dyDescent="0.2">
      <c r="A15" s="923"/>
      <c r="B15" s="934"/>
      <c r="C15" s="934"/>
      <c r="D15" s="934"/>
      <c r="E15" s="934"/>
      <c r="F15" s="934"/>
      <c r="G15" s="934"/>
      <c r="H15" s="927"/>
      <c r="I15" s="936"/>
      <c r="J15" s="937"/>
      <c r="K15" s="936"/>
      <c r="L15" s="936"/>
      <c r="M15" s="936"/>
      <c r="N15" s="925"/>
      <c r="O15" s="929"/>
      <c r="P15" s="929"/>
      <c r="Q15" s="941"/>
      <c r="R15" s="941"/>
      <c r="S15" s="941"/>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29"/>
      <c r="AY15" s="929"/>
      <c r="AZ15" s="929"/>
    </row>
    <row r="16" spans="1:52" s="49" customFormat="1" ht="12.75" x14ac:dyDescent="0.2">
      <c r="A16" s="923"/>
      <c r="B16" s="924" t="str">
        <f>IF(Stammblatt!$L$4=1,Q16,R16)</f>
        <v>Bahnfahrten</v>
      </c>
      <c r="C16" s="924"/>
      <c r="D16" s="927"/>
      <c r="E16" s="926"/>
      <c r="F16" s="927"/>
      <c r="G16" s="924"/>
      <c r="H16" s="927"/>
      <c r="I16" s="928"/>
      <c r="J16" s="924"/>
      <c r="K16" s="928"/>
      <c r="L16" s="928"/>
      <c r="M16" s="928"/>
      <c r="N16" s="925"/>
      <c r="O16" s="929"/>
      <c r="P16" s="929"/>
      <c r="Q16" s="941" t="s">
        <v>111</v>
      </c>
      <c r="R16" s="941" t="s">
        <v>521</v>
      </c>
      <c r="S16" s="941"/>
      <c r="T16" s="929"/>
      <c r="U16" s="929"/>
      <c r="V16" s="929"/>
      <c r="W16" s="929"/>
      <c r="X16" s="929"/>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row>
    <row r="17" spans="1:52" s="49" customFormat="1" ht="12.75" x14ac:dyDescent="0.2">
      <c r="A17" s="923"/>
      <c r="B17" s="934" t="str">
        <f>IF(Stammblatt!$L$4=1,Q17,R17)</f>
        <v>Stab</v>
      </c>
      <c r="C17" s="924"/>
      <c r="D17" s="927"/>
      <c r="E17" s="926"/>
      <c r="F17" s="927"/>
      <c r="G17" s="924"/>
      <c r="H17" s="927"/>
      <c r="I17" s="936">
        <f>Stab_Cast_Ö_Reisekosten!J193</f>
        <v>0</v>
      </c>
      <c r="J17" s="937"/>
      <c r="K17" s="99"/>
      <c r="L17" s="99"/>
      <c r="M17" s="99"/>
      <c r="N17" s="925"/>
      <c r="O17" s="929"/>
      <c r="P17" s="929"/>
      <c r="Q17" s="941" t="s">
        <v>199</v>
      </c>
      <c r="R17" s="941" t="s">
        <v>518</v>
      </c>
      <c r="S17" s="941"/>
      <c r="T17" s="929"/>
      <c r="U17" s="929"/>
      <c r="V17" s="929"/>
      <c r="W17" s="929"/>
      <c r="X17" s="929"/>
      <c r="Y17" s="929"/>
      <c r="Z17" s="929"/>
      <c r="AA17" s="929"/>
      <c r="AB17" s="929"/>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row>
    <row r="18" spans="1:52" s="49" customFormat="1" ht="12.75" x14ac:dyDescent="0.2">
      <c r="A18" s="923"/>
      <c r="B18" s="934" t="str">
        <f>IF(Stammblatt!$L$4=1,Q18,R18)</f>
        <v>Darsteller</v>
      </c>
      <c r="C18" s="924"/>
      <c r="D18" s="927"/>
      <c r="E18" s="926"/>
      <c r="F18" s="927"/>
      <c r="G18" s="924"/>
      <c r="H18" s="927"/>
      <c r="I18" s="936">
        <f>Stab_Cast_Ö_Reisekosten!J248</f>
        <v>0</v>
      </c>
      <c r="J18" s="937"/>
      <c r="K18" s="99"/>
      <c r="L18" s="99"/>
      <c r="M18" s="99"/>
      <c r="N18" s="925"/>
      <c r="O18" s="929"/>
      <c r="P18" s="929"/>
      <c r="Q18" s="941" t="s">
        <v>152</v>
      </c>
      <c r="R18" s="941" t="s">
        <v>519</v>
      </c>
      <c r="S18" s="941"/>
      <c r="T18" s="929"/>
      <c r="U18" s="929"/>
      <c r="V18" s="929"/>
      <c r="W18" s="929"/>
      <c r="X18" s="929"/>
      <c r="Y18" s="929"/>
      <c r="Z18" s="929"/>
      <c r="AA18" s="929"/>
      <c r="AB18" s="929"/>
      <c r="AC18" s="929"/>
      <c r="AD18" s="929"/>
      <c r="AE18" s="929"/>
      <c r="AF18" s="929"/>
      <c r="AG18" s="929"/>
      <c r="AH18" s="929"/>
      <c r="AI18" s="929"/>
      <c r="AJ18" s="929"/>
      <c r="AK18" s="929"/>
      <c r="AL18" s="929"/>
      <c r="AM18" s="929"/>
      <c r="AN18" s="929"/>
      <c r="AO18" s="929"/>
      <c r="AP18" s="929"/>
      <c r="AQ18" s="929"/>
      <c r="AR18" s="929"/>
      <c r="AS18" s="929"/>
      <c r="AT18" s="929"/>
      <c r="AU18" s="929"/>
      <c r="AV18" s="929"/>
      <c r="AW18" s="929"/>
      <c r="AX18" s="929"/>
      <c r="AY18" s="929"/>
      <c r="AZ18" s="929"/>
    </row>
    <row r="19" spans="1:52" s="49" customFormat="1" ht="12.75" x14ac:dyDescent="0.2">
      <c r="A19" s="923"/>
      <c r="B19" s="934" t="str">
        <f>IF(Stammblatt!$L$4=1,Q19,R19)</f>
        <v>Sonstige</v>
      </c>
      <c r="C19" s="67">
        <v>0</v>
      </c>
      <c r="D19" s="927" t="str">
        <f>IF(Stammblatt!$L$4=1,"x Bahn für:","x train for")</f>
        <v>x Bahn für:</v>
      </c>
      <c r="E19" s="957" t="s">
        <v>1063</v>
      </c>
      <c r="F19" s="957"/>
      <c r="G19" s="69">
        <v>0</v>
      </c>
      <c r="H19" s="927" t="str">
        <f>IF(Stammblatt!$L$4=1,$Q$1,$R$1)</f>
        <v>je Einheit</v>
      </c>
      <c r="I19" s="936">
        <f>C19*G19</f>
        <v>0</v>
      </c>
      <c r="J19" s="937"/>
      <c r="K19" s="99"/>
      <c r="L19" s="99"/>
      <c r="M19" s="99"/>
      <c r="N19" s="925"/>
      <c r="O19" s="929"/>
      <c r="P19" s="929"/>
      <c r="Q19" s="941" t="s">
        <v>200</v>
      </c>
      <c r="R19" s="941" t="s">
        <v>371</v>
      </c>
      <c r="S19" s="941"/>
      <c r="T19" s="929"/>
      <c r="U19" s="929"/>
      <c r="V19" s="929"/>
      <c r="W19" s="929"/>
      <c r="X19" s="929"/>
      <c r="Y19" s="929"/>
      <c r="Z19" s="929"/>
      <c r="AA19" s="929"/>
      <c r="AB19" s="929"/>
      <c r="AC19" s="929"/>
      <c r="AD19" s="929"/>
      <c r="AE19" s="929"/>
      <c r="AF19" s="929"/>
      <c r="AG19" s="929"/>
      <c r="AH19" s="929"/>
      <c r="AI19" s="929"/>
      <c r="AJ19" s="929"/>
      <c r="AK19" s="929"/>
      <c r="AL19" s="929"/>
      <c r="AM19" s="929"/>
      <c r="AN19" s="929"/>
      <c r="AO19" s="929"/>
      <c r="AP19" s="929"/>
      <c r="AQ19" s="929"/>
      <c r="AR19" s="929"/>
      <c r="AS19" s="929"/>
      <c r="AT19" s="929"/>
      <c r="AU19" s="929"/>
      <c r="AV19" s="929"/>
      <c r="AW19" s="929"/>
      <c r="AX19" s="929"/>
      <c r="AY19" s="929"/>
      <c r="AZ19" s="929"/>
    </row>
    <row r="20" spans="1:52" s="49" customFormat="1" ht="12.75" x14ac:dyDescent="0.2">
      <c r="A20" s="923"/>
      <c r="B20" s="924"/>
      <c r="C20" s="924"/>
      <c r="D20" s="927"/>
      <c r="E20" s="926"/>
      <c r="F20" s="927"/>
      <c r="G20" s="924"/>
      <c r="H20" s="927"/>
      <c r="I20" s="928"/>
      <c r="J20" s="924"/>
      <c r="K20" s="928"/>
      <c r="L20" s="928"/>
      <c r="M20" s="928"/>
      <c r="N20" s="925"/>
      <c r="O20" s="929"/>
      <c r="P20" s="929"/>
      <c r="Q20" s="941"/>
      <c r="R20" s="941"/>
      <c r="S20" s="941"/>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row>
    <row r="21" spans="1:52" s="49" customFormat="1" ht="12.75" x14ac:dyDescent="0.2">
      <c r="A21" s="29"/>
      <c r="B21" s="65" t="str">
        <f>IF(Stammblatt!$L$4=1,Q21,R21)</f>
        <v>Σ-Fahrtkosten</v>
      </c>
      <c r="C21" s="31"/>
      <c r="D21" s="40"/>
      <c r="E21" s="39"/>
      <c r="F21" s="36"/>
      <c r="G21" s="30"/>
      <c r="H21" s="30"/>
      <c r="I21" s="98">
        <f>SUM(I6:I20)</f>
        <v>0</v>
      </c>
      <c r="J21" s="947"/>
      <c r="K21" s="950">
        <f>SUM(K6:K20)</f>
        <v>0</v>
      </c>
      <c r="L21" s="950">
        <f>SUM(L6:L20)</f>
        <v>0</v>
      </c>
      <c r="M21" s="950">
        <f>SUM(M6:M20)</f>
        <v>0</v>
      </c>
      <c r="N21" s="925"/>
      <c r="O21" s="929"/>
      <c r="P21" s="929"/>
      <c r="Q21" s="941" t="s">
        <v>231</v>
      </c>
      <c r="R21" s="941" t="s">
        <v>522</v>
      </c>
      <c r="S21" s="941"/>
      <c r="T21" s="929"/>
      <c r="U21" s="929"/>
      <c r="V21" s="929"/>
      <c r="W21" s="929"/>
      <c r="X21" s="929"/>
      <c r="Y21" s="929"/>
      <c r="Z21" s="929"/>
      <c r="AA21" s="929"/>
      <c r="AB21" s="929"/>
      <c r="AC21" s="929"/>
      <c r="AD21" s="929"/>
      <c r="AE21" s="929"/>
      <c r="AF21" s="929"/>
      <c r="AG21" s="929"/>
      <c r="AH21" s="929"/>
      <c r="AI21" s="929"/>
      <c r="AJ21" s="929"/>
      <c r="AK21" s="929"/>
      <c r="AL21" s="929"/>
      <c r="AM21" s="929"/>
      <c r="AN21" s="929"/>
      <c r="AO21" s="929"/>
      <c r="AP21" s="929"/>
      <c r="AQ21" s="929"/>
      <c r="AR21" s="929"/>
      <c r="AS21" s="929"/>
      <c r="AT21" s="929"/>
      <c r="AU21" s="929"/>
      <c r="AV21" s="929"/>
      <c r="AW21" s="929"/>
      <c r="AX21" s="929"/>
      <c r="AY21" s="929"/>
      <c r="AZ21" s="929"/>
    </row>
    <row r="22" spans="1:52" s="49" customFormat="1" ht="12.75" x14ac:dyDescent="0.2">
      <c r="A22" s="923"/>
      <c r="B22" s="924"/>
      <c r="C22" s="924"/>
      <c r="D22" s="927"/>
      <c r="E22" s="926"/>
      <c r="F22" s="927"/>
      <c r="G22" s="924"/>
      <c r="H22" s="927"/>
      <c r="I22" s="928"/>
      <c r="J22" s="924"/>
      <c r="K22" s="928"/>
      <c r="L22" s="928"/>
      <c r="M22" s="928"/>
      <c r="N22" s="925"/>
      <c r="O22" s="929"/>
      <c r="P22" s="929"/>
      <c r="Q22" s="941"/>
      <c r="R22" s="941"/>
      <c r="S22" s="941"/>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929"/>
      <c r="AV22" s="929"/>
      <c r="AW22" s="929"/>
      <c r="AX22" s="929"/>
      <c r="AY22" s="929"/>
      <c r="AZ22" s="929"/>
    </row>
    <row r="23" spans="1:52" s="49" customFormat="1" ht="12.75" x14ac:dyDescent="0.2">
      <c r="A23" s="923">
        <v>145</v>
      </c>
      <c r="B23" s="933" t="str">
        <f>IF(Stammblatt!$L$4=1,Q23,R23)</f>
        <v>Tag- und Übernachtungsgelder (jeweils von der Mehrwertsteuer entlastet)</v>
      </c>
      <c r="C23" s="924"/>
      <c r="D23" s="927"/>
      <c r="E23" s="926"/>
      <c r="F23" s="927"/>
      <c r="G23" s="924"/>
      <c r="H23" s="927"/>
      <c r="I23" s="928"/>
      <c r="J23" s="924"/>
      <c r="K23" s="928"/>
      <c r="L23" s="928"/>
      <c r="M23" s="928"/>
      <c r="N23" s="925"/>
      <c r="O23" s="929"/>
      <c r="P23" s="929"/>
      <c r="Q23" s="941" t="s">
        <v>112</v>
      </c>
      <c r="R23" s="941" t="s">
        <v>549</v>
      </c>
      <c r="S23" s="941"/>
      <c r="T23" s="929"/>
      <c r="U23" s="929"/>
      <c r="V23" s="929"/>
      <c r="W23" s="929"/>
      <c r="X23" s="929"/>
      <c r="Y23" s="929"/>
      <c r="Z23" s="929"/>
      <c r="AA23" s="929"/>
      <c r="AB23" s="929"/>
      <c r="AC23" s="929"/>
      <c r="AD23" s="929"/>
      <c r="AE23" s="929"/>
      <c r="AF23" s="929"/>
      <c r="AG23" s="929"/>
      <c r="AH23" s="929"/>
      <c r="AI23" s="929"/>
      <c r="AJ23" s="929"/>
      <c r="AK23" s="929"/>
      <c r="AL23" s="929"/>
      <c r="AM23" s="929"/>
      <c r="AN23" s="929"/>
      <c r="AO23" s="929"/>
      <c r="AP23" s="929"/>
      <c r="AQ23" s="929"/>
      <c r="AR23" s="929"/>
      <c r="AS23" s="929"/>
      <c r="AT23" s="929"/>
      <c r="AU23" s="929"/>
      <c r="AV23" s="929"/>
      <c r="AW23" s="929"/>
      <c r="AX23" s="929"/>
      <c r="AY23" s="929"/>
      <c r="AZ23" s="929"/>
    </row>
    <row r="24" spans="1:52" s="49" customFormat="1" ht="12.75" x14ac:dyDescent="0.2">
      <c r="A24" s="923"/>
      <c r="B24" s="933"/>
      <c r="C24" s="924"/>
      <c r="D24" s="927"/>
      <c r="E24" s="926"/>
      <c r="F24" s="927"/>
      <c r="G24" s="924"/>
      <c r="H24" s="927"/>
      <c r="I24" s="928"/>
      <c r="J24" s="924"/>
      <c r="K24" s="928"/>
      <c r="L24" s="928"/>
      <c r="M24" s="928"/>
      <c r="N24" s="925"/>
      <c r="O24" s="929"/>
      <c r="P24" s="929"/>
      <c r="Q24" s="941"/>
      <c r="R24" s="941"/>
      <c r="S24" s="941"/>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c r="AT24" s="929"/>
      <c r="AU24" s="929"/>
      <c r="AV24" s="929"/>
      <c r="AW24" s="929"/>
      <c r="AX24" s="929"/>
      <c r="AY24" s="929"/>
      <c r="AZ24" s="929"/>
    </row>
    <row r="25" spans="1:52" s="49" customFormat="1" ht="12.75" x14ac:dyDescent="0.2">
      <c r="A25" s="923"/>
      <c r="B25" s="924" t="str">
        <f>IF(Stammblatt!$L$4=1,Q25,R25)</f>
        <v>Diäten</v>
      </c>
      <c r="C25" s="682" t="s">
        <v>567</v>
      </c>
      <c r="D25" s="682" t="s">
        <v>203</v>
      </c>
      <c r="E25" s="946" t="s">
        <v>265</v>
      </c>
      <c r="F25" s="946" t="s">
        <v>264</v>
      </c>
      <c r="G25" s="946" t="s">
        <v>568</v>
      </c>
      <c r="H25" s="946" t="s">
        <v>569</v>
      </c>
      <c r="I25" s="928"/>
      <c r="J25" s="924"/>
      <c r="K25" s="928"/>
      <c r="L25" s="928"/>
      <c r="M25" s="928"/>
      <c r="N25" s="925"/>
      <c r="O25" s="929"/>
      <c r="P25" s="929"/>
      <c r="Q25" s="941" t="s">
        <v>113</v>
      </c>
      <c r="R25" s="941" t="s">
        <v>523</v>
      </c>
      <c r="S25" s="941"/>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row>
    <row r="26" spans="1:52" s="49" customFormat="1" ht="12.75" x14ac:dyDescent="0.2">
      <c r="A26" s="923"/>
      <c r="B26" s="924"/>
      <c r="C26" s="792">
        <f>Diäten_W/1.1</f>
        <v>14</v>
      </c>
      <c r="D26" s="825">
        <f>Diäten_Ö/1.1</f>
        <v>23.999999999999996</v>
      </c>
      <c r="E26" s="114"/>
      <c r="F26" s="114"/>
      <c r="G26" s="114"/>
      <c r="H26" s="114"/>
      <c r="I26" s="928"/>
      <c r="J26" s="924"/>
      <c r="K26" s="928"/>
      <c r="L26" s="928"/>
      <c r="M26" s="928"/>
      <c r="N26" s="925"/>
      <c r="O26" s="929"/>
      <c r="P26" s="929"/>
      <c r="Q26" s="941"/>
      <c r="R26" s="941"/>
      <c r="S26" s="941"/>
      <c r="T26" s="929"/>
      <c r="U26" s="929"/>
      <c r="V26" s="929"/>
      <c r="W26" s="929"/>
      <c r="X26" s="929"/>
      <c r="Y26" s="929"/>
      <c r="Z26" s="929"/>
      <c r="AA26" s="929"/>
      <c r="AB26" s="929"/>
      <c r="AC26" s="929"/>
      <c r="AD26" s="929"/>
      <c r="AE26" s="929"/>
      <c r="AF26" s="929"/>
      <c r="AG26" s="929"/>
      <c r="AH26" s="929"/>
      <c r="AI26" s="929"/>
      <c r="AJ26" s="929"/>
      <c r="AK26" s="929"/>
      <c r="AL26" s="929"/>
      <c r="AM26" s="929"/>
      <c r="AN26" s="929"/>
      <c r="AO26" s="929"/>
      <c r="AP26" s="929"/>
      <c r="AQ26" s="929"/>
      <c r="AR26" s="929"/>
      <c r="AS26" s="929"/>
      <c r="AT26" s="929"/>
      <c r="AU26" s="929"/>
      <c r="AV26" s="929"/>
      <c r="AW26" s="929"/>
      <c r="AX26" s="929"/>
      <c r="AY26" s="929"/>
      <c r="AZ26" s="929"/>
    </row>
    <row r="27" spans="1:52" s="49" customFormat="1" ht="12.75" x14ac:dyDescent="0.2">
      <c r="A27" s="923"/>
      <c r="B27" s="934" t="str">
        <f>IF(Stammblatt!$L$4=1,Q27,R27)</f>
        <v>Stab</v>
      </c>
      <c r="C27" s="958">
        <f>Stab_Cast_Ö_Reisekosten!K193*C26</f>
        <v>0</v>
      </c>
      <c r="D27" s="958">
        <f>Stab_Cast_Ö_Reisekosten!L193*D26</f>
        <v>0</v>
      </c>
      <c r="E27" s="958">
        <f>Stab_Cast_Ö_Reisekosten!M193*E26</f>
        <v>0</v>
      </c>
      <c r="F27" s="958">
        <f>Stab_Cast_Ö_Reisekosten!N193*F26</f>
        <v>0</v>
      </c>
      <c r="G27" s="958">
        <f>Stab_Cast_Ö_Reisekosten!O193*G26</f>
        <v>0</v>
      </c>
      <c r="H27" s="958">
        <f>Stab_Cast_Ö_Reisekosten!P193*H26</f>
        <v>0</v>
      </c>
      <c r="I27" s="936">
        <f>SUM(C27:H27)</f>
        <v>0</v>
      </c>
      <c r="J27" s="937"/>
      <c r="K27" s="99"/>
      <c r="L27" s="99"/>
      <c r="M27" s="99"/>
      <c r="N27" s="925"/>
      <c r="O27" s="929"/>
      <c r="P27" s="929"/>
      <c r="Q27" s="941" t="s">
        <v>199</v>
      </c>
      <c r="R27" s="941" t="s">
        <v>518</v>
      </c>
      <c r="S27" s="941"/>
      <c r="T27" s="929"/>
      <c r="U27" s="929"/>
      <c r="V27" s="929"/>
      <c r="W27" s="929"/>
      <c r="X27" s="929"/>
      <c r="Y27" s="929"/>
      <c r="Z27" s="929"/>
      <c r="AA27" s="929"/>
      <c r="AB27" s="929"/>
      <c r="AC27" s="929"/>
      <c r="AD27" s="929"/>
      <c r="AE27" s="929"/>
      <c r="AF27" s="929"/>
      <c r="AG27" s="929"/>
      <c r="AH27" s="929"/>
      <c r="AI27" s="929"/>
      <c r="AJ27" s="929"/>
      <c r="AK27" s="929"/>
      <c r="AL27" s="929"/>
      <c r="AM27" s="929"/>
      <c r="AN27" s="929"/>
      <c r="AO27" s="929"/>
      <c r="AP27" s="929"/>
      <c r="AQ27" s="929"/>
      <c r="AR27" s="929"/>
      <c r="AS27" s="929"/>
      <c r="AT27" s="929"/>
      <c r="AU27" s="929"/>
      <c r="AV27" s="929"/>
      <c r="AW27" s="929"/>
      <c r="AX27" s="929"/>
      <c r="AY27" s="929"/>
      <c r="AZ27" s="929"/>
    </row>
    <row r="28" spans="1:52" s="49" customFormat="1" ht="12.75" x14ac:dyDescent="0.2">
      <c r="A28" s="923"/>
      <c r="B28" s="934" t="str">
        <f>IF(Stammblatt!$L$4=1,Q28,R28)</f>
        <v>Darsteller</v>
      </c>
      <c r="C28" s="961">
        <f>Stab_Cast_Ö_Reisekosten!K248*C26</f>
        <v>0</v>
      </c>
      <c r="D28" s="961">
        <f>Stab_Cast_Ö_Reisekosten!L248*D26</f>
        <v>0</v>
      </c>
      <c r="E28" s="961">
        <f>Stab_Cast_Ö_Reisekosten!M248*E26</f>
        <v>0</v>
      </c>
      <c r="F28" s="961">
        <f>Stab_Cast_Ö_Reisekosten!N248*F26</f>
        <v>0</v>
      </c>
      <c r="G28" s="961">
        <f>Stab_Cast_Ö_Reisekosten!O248*G26</f>
        <v>0</v>
      </c>
      <c r="H28" s="961">
        <f>Stab_Cast_Ö_Reisekosten!P248*H26</f>
        <v>0</v>
      </c>
      <c r="I28" s="936">
        <f>SUM(C28:H28)</f>
        <v>0</v>
      </c>
      <c r="J28" s="937"/>
      <c r="K28" s="99"/>
      <c r="L28" s="99"/>
      <c r="M28" s="99"/>
      <c r="N28" s="925"/>
      <c r="O28" s="929"/>
      <c r="P28" s="929"/>
      <c r="Q28" s="941" t="s">
        <v>152</v>
      </c>
      <c r="R28" s="941" t="s">
        <v>519</v>
      </c>
      <c r="S28" s="941"/>
      <c r="T28" s="929"/>
      <c r="U28" s="929"/>
      <c r="V28" s="929"/>
      <c r="W28" s="929"/>
      <c r="X28" s="929"/>
      <c r="Y28" s="929"/>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929"/>
      <c r="AW28" s="929"/>
      <c r="AX28" s="929"/>
      <c r="AY28" s="929"/>
      <c r="AZ28" s="929"/>
    </row>
    <row r="29" spans="1:52" s="49" customFormat="1" ht="12.75" x14ac:dyDescent="0.2">
      <c r="A29" s="923"/>
      <c r="B29" s="960" t="str">
        <f>IF(Stammblatt!$L$4=1,Q29,R29)</f>
        <v>Komparsen u.a.</v>
      </c>
      <c r="C29" s="959">
        <f>Stab_Cast_Ö_Reisekosten!D253*C26</f>
        <v>0</v>
      </c>
      <c r="D29" s="959">
        <f>Stab_Cast_Ö_Reisekosten!E253*D26</f>
        <v>0</v>
      </c>
      <c r="E29" s="959">
        <f>Stab_Cast_Ö_Reisekosten!F253*E26</f>
        <v>0</v>
      </c>
      <c r="F29" s="959">
        <f>Stab_Cast_Ö_Reisekosten!G253*F26</f>
        <v>0</v>
      </c>
      <c r="G29" s="959">
        <f>Stab_Cast_Ö_Reisekosten!H253*G26</f>
        <v>0</v>
      </c>
      <c r="H29" s="959">
        <f>Stab_Cast_Ö_Reisekosten!I253*H26</f>
        <v>0</v>
      </c>
      <c r="I29" s="936">
        <f>SUM(C29:H29)</f>
        <v>0</v>
      </c>
      <c r="J29" s="937"/>
      <c r="K29" s="99"/>
      <c r="L29" s="99"/>
      <c r="M29" s="99"/>
      <c r="N29" s="925"/>
      <c r="O29" s="929"/>
      <c r="P29" s="929"/>
      <c r="Q29" s="941" t="s">
        <v>248</v>
      </c>
      <c r="R29" s="941" t="s">
        <v>368</v>
      </c>
      <c r="S29" s="941"/>
      <c r="T29" s="929"/>
      <c r="U29" s="929"/>
      <c r="V29" s="929"/>
      <c r="W29" s="929"/>
      <c r="X29" s="929"/>
      <c r="Y29" s="929"/>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929"/>
      <c r="AW29" s="929"/>
      <c r="AX29" s="929"/>
      <c r="AY29" s="929"/>
      <c r="AZ29" s="929"/>
    </row>
    <row r="30" spans="1:52" s="49" customFormat="1" ht="12.75" x14ac:dyDescent="0.2">
      <c r="A30" s="923"/>
      <c r="B30" s="934"/>
      <c r="C30" s="934"/>
      <c r="D30" s="934"/>
      <c r="E30" s="934"/>
      <c r="F30" s="934"/>
      <c r="G30" s="934"/>
      <c r="H30" s="934"/>
      <c r="I30" s="949"/>
      <c r="J30" s="934"/>
      <c r="K30" s="949"/>
      <c r="L30" s="949"/>
      <c r="M30" s="949"/>
      <c r="N30" s="934"/>
      <c r="O30" s="929"/>
      <c r="P30" s="929"/>
      <c r="Q30" s="941"/>
      <c r="R30" s="941"/>
      <c r="S30" s="941"/>
      <c r="T30" s="929"/>
      <c r="U30" s="929"/>
      <c r="V30" s="929"/>
      <c r="W30" s="929"/>
      <c r="X30" s="929"/>
      <c r="Y30" s="929"/>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929"/>
      <c r="AW30" s="929"/>
      <c r="AX30" s="929"/>
      <c r="AY30" s="929"/>
      <c r="AZ30" s="929"/>
    </row>
    <row r="31" spans="1:52" s="49" customFormat="1" ht="12.75" x14ac:dyDescent="0.2">
      <c r="A31" s="923"/>
      <c r="B31" s="924" t="s">
        <v>114</v>
      </c>
      <c r="C31" s="924"/>
      <c r="D31" s="927"/>
      <c r="E31" s="926"/>
      <c r="F31" s="927"/>
      <c r="G31" s="924"/>
      <c r="H31" s="927"/>
      <c r="I31" s="928"/>
      <c r="J31" s="924"/>
      <c r="K31" s="928"/>
      <c r="L31" s="928"/>
      <c r="M31" s="928"/>
      <c r="N31" s="925"/>
      <c r="O31" s="929"/>
      <c r="P31" s="929"/>
      <c r="Q31" s="941" t="s">
        <v>114</v>
      </c>
      <c r="R31" s="941"/>
      <c r="S31" s="941"/>
      <c r="T31" s="929"/>
      <c r="U31" s="929"/>
      <c r="V31" s="929"/>
      <c r="W31" s="929"/>
      <c r="X31" s="929"/>
      <c r="Y31" s="929"/>
      <c r="Z31" s="929"/>
      <c r="AA31" s="929"/>
      <c r="AB31" s="929"/>
      <c r="AC31" s="929"/>
      <c r="AD31" s="929"/>
      <c r="AE31" s="929"/>
      <c r="AF31" s="929"/>
      <c r="AG31" s="929"/>
      <c r="AH31" s="929"/>
      <c r="AI31" s="929"/>
      <c r="AJ31" s="929"/>
      <c r="AK31" s="929"/>
      <c r="AL31" s="929"/>
      <c r="AM31" s="929"/>
      <c r="AN31" s="929"/>
      <c r="AO31" s="929"/>
      <c r="AP31" s="929"/>
      <c r="AQ31" s="929"/>
      <c r="AR31" s="929"/>
      <c r="AS31" s="929"/>
      <c r="AT31" s="929"/>
      <c r="AU31" s="929"/>
      <c r="AV31" s="929"/>
      <c r="AW31" s="929"/>
      <c r="AX31" s="929"/>
      <c r="AY31" s="929"/>
      <c r="AZ31" s="929"/>
    </row>
    <row r="32" spans="1:52" s="49" customFormat="1" ht="12.75" x14ac:dyDescent="0.2">
      <c r="A32" s="923"/>
      <c r="B32" s="934" t="str">
        <f>IF(Stammblatt!$L$4=1,Q32,R32)</f>
        <v>Stab</v>
      </c>
      <c r="C32" s="937">
        <f>Stab_Cast_Ö_Reisekosten!Q193</f>
        <v>0</v>
      </c>
      <c r="D32" s="927" t="str">
        <f>IF(Stammblatt!$L$4=1,$Q$2,$R$2)</f>
        <v>Tage</v>
      </c>
      <c r="E32" s="926"/>
      <c r="F32" s="926"/>
      <c r="G32" s="69"/>
      <c r="H32" s="927" t="str">
        <f>IF(Stammblatt!$L$4=1,$Q$1,$R$1)</f>
        <v>je Einheit</v>
      </c>
      <c r="I32" s="936">
        <f>C32*G32</f>
        <v>0</v>
      </c>
      <c r="J32" s="937"/>
      <c r="K32" s="99"/>
      <c r="L32" s="99"/>
      <c r="M32" s="99"/>
      <c r="N32" s="925"/>
      <c r="O32" s="929"/>
      <c r="P32" s="929"/>
      <c r="Q32" s="941" t="s">
        <v>199</v>
      </c>
      <c r="R32" s="941" t="s">
        <v>518</v>
      </c>
      <c r="S32" s="941"/>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29"/>
      <c r="AW32" s="929"/>
      <c r="AX32" s="929"/>
      <c r="AY32" s="929"/>
      <c r="AZ32" s="929"/>
    </row>
    <row r="33" spans="1:52" s="49" customFormat="1" ht="12.75" x14ac:dyDescent="0.2">
      <c r="A33" s="923"/>
      <c r="B33" s="934" t="str">
        <f>IF(Stammblatt!$L$4=1,Q33,R33)</f>
        <v>Darsteller</v>
      </c>
      <c r="C33" s="937">
        <f>Stab_Cast_Ö_Reisekosten!Q248</f>
        <v>0</v>
      </c>
      <c r="D33" s="927" t="str">
        <f>IF(Stammblatt!$L$4=1,$Q$2,$R$2)</f>
        <v>Tage</v>
      </c>
      <c r="E33" s="926"/>
      <c r="F33" s="926"/>
      <c r="G33" s="69"/>
      <c r="H33" s="927" t="str">
        <f>IF(Stammblatt!$L$4=1,$Q$1,$R$1)</f>
        <v>je Einheit</v>
      </c>
      <c r="I33" s="936">
        <f>C33*G33</f>
        <v>0</v>
      </c>
      <c r="J33" s="937"/>
      <c r="K33" s="99"/>
      <c r="L33" s="99"/>
      <c r="M33" s="99"/>
      <c r="N33" s="925"/>
      <c r="O33" s="929"/>
      <c r="P33" s="929"/>
      <c r="Q33" s="941" t="s">
        <v>152</v>
      </c>
      <c r="R33" s="941" t="s">
        <v>519</v>
      </c>
      <c r="S33" s="941"/>
      <c r="T33" s="929"/>
      <c r="U33" s="929"/>
      <c r="V33" s="929"/>
      <c r="W33" s="929"/>
      <c r="X33" s="929"/>
      <c r="Y33" s="929"/>
      <c r="Z33" s="929"/>
      <c r="AA33" s="929"/>
      <c r="AB33" s="929"/>
      <c r="AC33" s="929"/>
      <c r="AD33" s="929"/>
      <c r="AE33" s="929"/>
      <c r="AF33" s="929"/>
      <c r="AG33" s="929"/>
      <c r="AH33" s="929"/>
      <c r="AI33" s="929"/>
      <c r="AJ33" s="929"/>
      <c r="AK33" s="929"/>
      <c r="AL33" s="929"/>
      <c r="AM33" s="929"/>
      <c r="AN33" s="929"/>
      <c r="AO33" s="929"/>
      <c r="AP33" s="929"/>
      <c r="AQ33" s="929"/>
      <c r="AR33" s="929"/>
      <c r="AS33" s="929"/>
      <c r="AT33" s="929"/>
      <c r="AU33" s="929"/>
      <c r="AV33" s="929"/>
      <c r="AW33" s="929"/>
      <c r="AX33" s="929"/>
      <c r="AY33" s="929"/>
      <c r="AZ33" s="929"/>
    </row>
    <row r="34" spans="1:52" s="49" customFormat="1" ht="12.75" x14ac:dyDescent="0.2">
      <c r="A34" s="923"/>
      <c r="B34" s="934" t="str">
        <f>IF(Stammblatt!$L$4=1,Q34,R34)</f>
        <v>Komparsen u.a.</v>
      </c>
      <c r="C34" s="937">
        <f>Stab_Cast_Ö_Reisekosten!Q253</f>
        <v>0</v>
      </c>
      <c r="D34" s="927" t="str">
        <f>IF(Stammblatt!$L$4=1,$Q$2,$R$2)</f>
        <v>Tage</v>
      </c>
      <c r="E34" s="926"/>
      <c r="F34" s="926"/>
      <c r="G34" s="69"/>
      <c r="H34" s="927" t="str">
        <f>IF(Stammblatt!$L$4=1,$Q$1,$R$1)</f>
        <v>je Einheit</v>
      </c>
      <c r="I34" s="936">
        <f>C34*G34</f>
        <v>0</v>
      </c>
      <c r="J34" s="937"/>
      <c r="K34" s="99"/>
      <c r="L34" s="99"/>
      <c r="M34" s="99"/>
      <c r="N34" s="925"/>
      <c r="O34" s="929"/>
      <c r="P34" s="929"/>
      <c r="Q34" s="941" t="s">
        <v>248</v>
      </c>
      <c r="R34" s="941" t="s">
        <v>368</v>
      </c>
      <c r="S34" s="941"/>
      <c r="T34" s="929"/>
      <c r="U34" s="929"/>
      <c r="V34" s="929"/>
      <c r="W34" s="929"/>
      <c r="X34" s="929"/>
      <c r="Y34" s="929"/>
      <c r="Z34" s="929"/>
      <c r="AA34" s="929"/>
      <c r="AB34" s="929"/>
      <c r="AC34" s="929"/>
      <c r="AD34" s="929"/>
      <c r="AE34" s="929"/>
      <c r="AF34" s="929"/>
      <c r="AG34" s="929"/>
      <c r="AH34" s="929"/>
      <c r="AI34" s="929"/>
      <c r="AJ34" s="929"/>
      <c r="AK34" s="929"/>
      <c r="AL34" s="929"/>
      <c r="AM34" s="929"/>
      <c r="AN34" s="929"/>
      <c r="AO34" s="929"/>
      <c r="AP34" s="929"/>
      <c r="AQ34" s="929"/>
      <c r="AR34" s="929"/>
      <c r="AS34" s="929"/>
      <c r="AT34" s="929"/>
      <c r="AU34" s="929"/>
      <c r="AV34" s="929"/>
      <c r="AW34" s="929"/>
      <c r="AX34" s="929"/>
      <c r="AY34" s="929"/>
      <c r="AZ34" s="929"/>
    </row>
    <row r="35" spans="1:52" s="49" customFormat="1" ht="12.75" x14ac:dyDescent="0.2">
      <c r="A35" s="923"/>
      <c r="B35" s="924"/>
      <c r="C35" s="924"/>
      <c r="D35" s="927"/>
      <c r="E35" s="926"/>
      <c r="F35" s="927"/>
      <c r="G35" s="924"/>
      <c r="H35" s="927"/>
      <c r="I35" s="928"/>
      <c r="J35" s="924"/>
      <c r="K35" s="928"/>
      <c r="L35" s="928"/>
      <c r="M35" s="928"/>
      <c r="N35" s="925"/>
      <c r="O35" s="929"/>
      <c r="P35" s="929"/>
      <c r="Q35" s="941"/>
      <c r="R35" s="941"/>
      <c r="S35" s="941"/>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929"/>
      <c r="AY35" s="929"/>
      <c r="AZ35" s="929"/>
    </row>
    <row r="36" spans="1:52" s="49" customFormat="1" ht="12.75" x14ac:dyDescent="0.2">
      <c r="A36" s="923"/>
      <c r="B36" s="924" t="str">
        <f>IF(Stammblatt!$L$4=1,Q36,R36)</f>
        <v>Nächtigung</v>
      </c>
      <c r="C36" s="924"/>
      <c r="D36" s="927"/>
      <c r="E36" s="926"/>
      <c r="F36" s="927"/>
      <c r="G36" s="924"/>
      <c r="H36" s="927"/>
      <c r="I36" s="928"/>
      <c r="J36" s="924"/>
      <c r="K36" s="928"/>
      <c r="L36" s="928"/>
      <c r="M36" s="928"/>
      <c r="N36" s="925"/>
      <c r="O36" s="929"/>
      <c r="P36" s="929"/>
      <c r="Q36" s="941" t="s">
        <v>115</v>
      </c>
      <c r="R36" s="941" t="s">
        <v>524</v>
      </c>
      <c r="S36" s="941"/>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929"/>
      <c r="AY36" s="929"/>
      <c r="AZ36" s="929"/>
    </row>
    <row r="37" spans="1:52" s="49" customFormat="1" ht="12.75" x14ac:dyDescent="0.2">
      <c r="A37" s="923"/>
      <c r="B37" s="934" t="str">
        <f>IF(Stammblatt!$L$4=1,Q37,R37)</f>
        <v>Stab</v>
      </c>
      <c r="C37" s="924"/>
      <c r="D37" s="948"/>
      <c r="E37" s="926"/>
      <c r="F37" s="926"/>
      <c r="G37" s="926"/>
      <c r="H37" s="926"/>
      <c r="I37" s="936">
        <f>Stab_Cast_Ö_Reisekosten!T193</f>
        <v>0</v>
      </c>
      <c r="J37" s="937"/>
      <c r="K37" s="99"/>
      <c r="L37" s="99"/>
      <c r="M37" s="99"/>
      <c r="N37" s="925"/>
      <c r="O37" s="929"/>
      <c r="P37" s="929"/>
      <c r="Q37" s="941" t="s">
        <v>199</v>
      </c>
      <c r="R37" s="941" t="s">
        <v>518</v>
      </c>
      <c r="S37" s="941"/>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29"/>
      <c r="AR37" s="929"/>
      <c r="AS37" s="929"/>
      <c r="AT37" s="929"/>
      <c r="AU37" s="929"/>
      <c r="AV37" s="929"/>
      <c r="AW37" s="929"/>
      <c r="AX37" s="929"/>
      <c r="AY37" s="929"/>
      <c r="AZ37" s="929"/>
    </row>
    <row r="38" spans="1:52" s="49" customFormat="1" ht="12.75" x14ac:dyDescent="0.2">
      <c r="A38" s="923"/>
      <c r="B38" s="934" t="str">
        <f>IF(Stammblatt!$L$4=1,Q38,R38)</f>
        <v>Darsteller</v>
      </c>
      <c r="C38" s="924"/>
      <c r="D38" s="948"/>
      <c r="E38" s="926"/>
      <c r="F38" s="926"/>
      <c r="G38" s="926"/>
      <c r="H38" s="926"/>
      <c r="I38" s="936">
        <f>Stab_Cast_Ö_Reisekosten!T248</f>
        <v>0</v>
      </c>
      <c r="J38" s="937"/>
      <c r="K38" s="99"/>
      <c r="L38" s="99"/>
      <c r="M38" s="99"/>
      <c r="N38" s="925"/>
      <c r="O38" s="929"/>
      <c r="P38" s="929"/>
      <c r="Q38" s="941" t="s">
        <v>152</v>
      </c>
      <c r="R38" s="941" t="s">
        <v>519</v>
      </c>
      <c r="S38" s="941"/>
      <c r="T38" s="929"/>
      <c r="U38" s="929"/>
      <c r="V38" s="929"/>
      <c r="W38" s="929"/>
      <c r="X38" s="929"/>
      <c r="Y38" s="929"/>
      <c r="Z38" s="929"/>
      <c r="AA38" s="929"/>
      <c r="AB38" s="929"/>
      <c r="AC38" s="929"/>
      <c r="AD38" s="929"/>
      <c r="AE38" s="929"/>
      <c r="AF38" s="929"/>
      <c r="AG38" s="929"/>
      <c r="AH38" s="929"/>
      <c r="AI38" s="929"/>
      <c r="AJ38" s="929"/>
      <c r="AK38" s="929"/>
      <c r="AL38" s="929"/>
      <c r="AM38" s="929"/>
      <c r="AN38" s="929"/>
      <c r="AO38" s="929"/>
      <c r="AP38" s="929"/>
      <c r="AQ38" s="929"/>
      <c r="AR38" s="929"/>
      <c r="AS38" s="929"/>
      <c r="AT38" s="929"/>
      <c r="AU38" s="929"/>
      <c r="AV38" s="929"/>
      <c r="AW38" s="929"/>
      <c r="AX38" s="929"/>
      <c r="AY38" s="929"/>
      <c r="AZ38" s="929"/>
    </row>
    <row r="39" spans="1:52" s="49" customFormat="1" ht="12.75" x14ac:dyDescent="0.2">
      <c r="A39" s="923"/>
      <c r="B39" s="934" t="str">
        <f>IF(Stammblatt!$L$4=1,Q39,R39)</f>
        <v>Sonstige</v>
      </c>
      <c r="C39" s="924"/>
      <c r="D39" s="948"/>
      <c r="E39" s="926"/>
      <c r="F39" s="926"/>
      <c r="G39" s="926"/>
      <c r="H39" s="926"/>
      <c r="I39" s="99">
        <v>0</v>
      </c>
      <c r="J39" s="924"/>
      <c r="K39" s="99"/>
      <c r="L39" s="99"/>
      <c r="M39" s="99"/>
      <c r="N39" s="925"/>
      <c r="O39" s="929"/>
      <c r="P39" s="929"/>
      <c r="Q39" s="941" t="s">
        <v>200</v>
      </c>
      <c r="R39" s="941" t="s">
        <v>371</v>
      </c>
      <c r="S39" s="941"/>
      <c r="T39" s="929"/>
      <c r="U39" s="929"/>
      <c r="V39" s="929"/>
      <c r="W39" s="929"/>
      <c r="X39" s="929"/>
      <c r="Y39" s="929"/>
      <c r="Z39" s="929"/>
      <c r="AA39" s="929"/>
      <c r="AB39" s="929"/>
      <c r="AC39" s="929"/>
      <c r="AD39" s="929"/>
      <c r="AE39" s="929"/>
      <c r="AF39" s="929"/>
      <c r="AG39" s="929"/>
      <c r="AH39" s="929"/>
      <c r="AI39" s="929"/>
      <c r="AJ39" s="929"/>
      <c r="AK39" s="929"/>
      <c r="AL39" s="929"/>
      <c r="AM39" s="929"/>
      <c r="AN39" s="929"/>
      <c r="AO39" s="929"/>
      <c r="AP39" s="929"/>
      <c r="AQ39" s="929"/>
      <c r="AR39" s="929"/>
      <c r="AS39" s="929"/>
      <c r="AT39" s="929"/>
      <c r="AU39" s="929"/>
      <c r="AV39" s="929"/>
      <c r="AW39" s="929"/>
      <c r="AX39" s="929"/>
      <c r="AY39" s="929"/>
      <c r="AZ39" s="929"/>
    </row>
    <row r="40" spans="1:52" s="49" customFormat="1" ht="12.75" x14ac:dyDescent="0.2">
      <c r="A40" s="923"/>
      <c r="B40" s="924"/>
      <c r="C40" s="924"/>
      <c r="D40" s="927"/>
      <c r="E40" s="926"/>
      <c r="F40" s="927"/>
      <c r="G40" s="924"/>
      <c r="H40" s="927"/>
      <c r="I40" s="928"/>
      <c r="J40" s="924"/>
      <c r="K40" s="928"/>
      <c r="L40" s="928"/>
      <c r="M40" s="928"/>
      <c r="N40" s="925"/>
      <c r="O40" s="929"/>
      <c r="P40" s="929"/>
      <c r="Q40" s="941"/>
      <c r="R40" s="941"/>
      <c r="S40" s="941"/>
      <c r="T40" s="929"/>
      <c r="U40" s="929"/>
      <c r="V40" s="929"/>
      <c r="W40" s="929"/>
      <c r="X40" s="929"/>
      <c r="Y40" s="929"/>
      <c r="Z40" s="929"/>
      <c r="AA40" s="929"/>
      <c r="AB40" s="929"/>
      <c r="AC40" s="929"/>
      <c r="AD40" s="929"/>
      <c r="AE40" s="929"/>
      <c r="AF40" s="929"/>
      <c r="AG40" s="929"/>
      <c r="AH40" s="929"/>
      <c r="AI40" s="929"/>
      <c r="AJ40" s="929"/>
      <c r="AK40" s="929"/>
      <c r="AL40" s="929"/>
      <c r="AM40" s="929"/>
      <c r="AN40" s="929"/>
      <c r="AO40" s="929"/>
      <c r="AP40" s="929"/>
      <c r="AQ40" s="929"/>
      <c r="AR40" s="929"/>
      <c r="AS40" s="929"/>
      <c r="AT40" s="929"/>
      <c r="AU40" s="929"/>
      <c r="AV40" s="929"/>
      <c r="AW40" s="929"/>
      <c r="AX40" s="929"/>
      <c r="AY40" s="929"/>
      <c r="AZ40" s="929"/>
    </row>
    <row r="41" spans="1:52" s="49" customFormat="1" ht="12.75" x14ac:dyDescent="0.2">
      <c r="A41" s="29"/>
      <c r="B41" s="65" t="str">
        <f>IF(Stammblatt!$L$4=1,Q41,R41)</f>
        <v>Σ-Tag- und Übernachtungsgelder</v>
      </c>
      <c r="C41" s="31"/>
      <c r="D41" s="40"/>
      <c r="E41" s="39"/>
      <c r="F41" s="36"/>
      <c r="G41" s="30"/>
      <c r="H41" s="30"/>
      <c r="I41" s="98">
        <f>SUM(I27:I40)</f>
        <v>0</v>
      </c>
      <c r="J41" s="947"/>
      <c r="K41" s="950">
        <f>SUM(K27:K40)</f>
        <v>0</v>
      </c>
      <c r="L41" s="950">
        <f>SUM(L27:L40)</f>
        <v>0</v>
      </c>
      <c r="M41" s="950">
        <f>SUM(M27:M40)</f>
        <v>0</v>
      </c>
      <c r="N41" s="925"/>
      <c r="O41" s="929"/>
      <c r="P41" s="929"/>
      <c r="Q41" s="941" t="s">
        <v>232</v>
      </c>
      <c r="R41" s="941" t="s">
        <v>525</v>
      </c>
      <c r="S41" s="941"/>
      <c r="T41" s="929"/>
      <c r="U41" s="929"/>
      <c r="V41" s="929"/>
      <c r="W41" s="929"/>
      <c r="X41" s="929"/>
      <c r="Y41" s="929"/>
      <c r="Z41" s="929"/>
      <c r="AA41" s="929"/>
      <c r="AB41" s="929"/>
      <c r="AC41" s="929"/>
      <c r="AD41" s="929"/>
      <c r="AE41" s="929"/>
      <c r="AF41" s="929"/>
      <c r="AG41" s="929"/>
      <c r="AH41" s="929"/>
      <c r="AI41" s="929"/>
      <c r="AJ41" s="929"/>
      <c r="AK41" s="929"/>
      <c r="AL41" s="929"/>
      <c r="AM41" s="929"/>
      <c r="AN41" s="929"/>
      <c r="AO41" s="929"/>
      <c r="AP41" s="929"/>
      <c r="AQ41" s="929"/>
      <c r="AR41" s="929"/>
      <c r="AS41" s="929"/>
      <c r="AT41" s="929"/>
      <c r="AU41" s="929"/>
      <c r="AV41" s="929"/>
      <c r="AW41" s="929"/>
      <c r="AX41" s="929"/>
      <c r="AY41" s="929"/>
      <c r="AZ41" s="929"/>
    </row>
    <row r="42" spans="1:52" s="49" customFormat="1" ht="12.75" x14ac:dyDescent="0.2">
      <c r="A42" s="923"/>
      <c r="B42" s="924"/>
      <c r="C42" s="924"/>
      <c r="D42" s="927"/>
      <c r="E42" s="926"/>
      <c r="F42" s="927"/>
      <c r="G42" s="924"/>
      <c r="H42" s="927"/>
      <c r="I42" s="928"/>
      <c r="J42" s="924"/>
      <c r="K42" s="928"/>
      <c r="L42" s="928"/>
      <c r="M42" s="928"/>
      <c r="N42" s="925"/>
      <c r="O42" s="929"/>
      <c r="P42" s="929"/>
      <c r="Q42" s="941"/>
      <c r="R42" s="941"/>
      <c r="S42" s="941"/>
      <c r="T42" s="929"/>
      <c r="U42" s="929"/>
      <c r="V42" s="929"/>
      <c r="W42" s="929"/>
      <c r="X42" s="929"/>
      <c r="Y42" s="929"/>
      <c r="Z42" s="929"/>
      <c r="AA42" s="929"/>
      <c r="AB42" s="929"/>
      <c r="AC42" s="929"/>
      <c r="AD42" s="929"/>
      <c r="AE42" s="929"/>
      <c r="AF42" s="929"/>
      <c r="AG42" s="929"/>
      <c r="AH42" s="929"/>
      <c r="AI42" s="929"/>
      <c r="AJ42" s="929"/>
      <c r="AK42" s="929"/>
      <c r="AL42" s="929"/>
      <c r="AM42" s="929"/>
      <c r="AN42" s="929"/>
      <c r="AO42" s="929"/>
      <c r="AP42" s="929"/>
      <c r="AQ42" s="929"/>
      <c r="AR42" s="929"/>
      <c r="AS42" s="929"/>
      <c r="AT42" s="929"/>
      <c r="AU42" s="929"/>
      <c r="AV42" s="929"/>
      <c r="AW42" s="929"/>
      <c r="AX42" s="929"/>
      <c r="AY42" s="929"/>
      <c r="AZ42" s="929"/>
    </row>
    <row r="43" spans="1:52" s="51" customFormat="1" ht="12.75" x14ac:dyDescent="0.2">
      <c r="A43" s="923">
        <v>146</v>
      </c>
      <c r="B43" s="933" t="str">
        <f>IF(Stammblatt!$L$4=1,Q43,R43)</f>
        <v xml:space="preserve">Beförderungs- und Transportkosten, Frachten, Rollgelder und Taxis </v>
      </c>
      <c r="C43" s="951"/>
      <c r="D43" s="952"/>
      <c r="E43" s="953"/>
      <c r="F43" s="952"/>
      <c r="G43" s="951"/>
      <c r="H43" s="952"/>
      <c r="I43" s="954"/>
      <c r="J43" s="951"/>
      <c r="K43" s="954"/>
      <c r="L43" s="954"/>
      <c r="M43" s="954"/>
      <c r="N43" s="925"/>
      <c r="O43" s="939"/>
      <c r="P43" s="939"/>
      <c r="Q43" s="943" t="s">
        <v>116</v>
      </c>
      <c r="R43" s="943" t="s">
        <v>421</v>
      </c>
      <c r="S43" s="943"/>
      <c r="T43" s="939"/>
      <c r="U43" s="939"/>
      <c r="V43" s="939"/>
      <c r="W43" s="939"/>
      <c r="X43" s="939"/>
      <c r="Y43" s="939"/>
      <c r="Z43" s="939"/>
      <c r="AA43" s="939"/>
      <c r="AB43" s="939"/>
      <c r="AC43" s="939"/>
      <c r="AD43" s="939"/>
      <c r="AE43" s="939"/>
      <c r="AF43" s="939"/>
      <c r="AG43" s="939"/>
      <c r="AH43" s="939"/>
      <c r="AI43" s="939"/>
      <c r="AJ43" s="939"/>
      <c r="AK43" s="939"/>
      <c r="AL43" s="939"/>
      <c r="AM43" s="939"/>
      <c r="AN43" s="939"/>
      <c r="AO43" s="939"/>
      <c r="AP43" s="939"/>
      <c r="AQ43" s="939"/>
      <c r="AR43" s="939"/>
      <c r="AS43" s="939"/>
      <c r="AT43" s="939"/>
      <c r="AU43" s="939"/>
      <c r="AV43" s="939"/>
      <c r="AW43" s="939"/>
      <c r="AX43" s="939"/>
      <c r="AY43" s="939"/>
      <c r="AZ43" s="939"/>
    </row>
    <row r="44" spans="1:52" s="51" customFormat="1" ht="12.75" x14ac:dyDescent="0.2">
      <c r="A44" s="923"/>
      <c r="B44" s="933"/>
      <c r="C44" s="951"/>
      <c r="D44" s="952"/>
      <c r="E44" s="953"/>
      <c r="F44" s="952"/>
      <c r="G44" s="951"/>
      <c r="H44" s="952"/>
      <c r="I44" s="954"/>
      <c r="J44" s="951"/>
      <c r="K44" s="954"/>
      <c r="L44" s="954"/>
      <c r="M44" s="954"/>
      <c r="N44" s="925"/>
      <c r="O44" s="939"/>
      <c r="P44" s="939"/>
      <c r="Q44" s="943"/>
      <c r="R44" s="943"/>
      <c r="S44" s="943"/>
      <c r="T44" s="939"/>
      <c r="U44" s="939"/>
      <c r="V44" s="939"/>
      <c r="W44" s="939"/>
      <c r="X44" s="939"/>
      <c r="Y44" s="939"/>
      <c r="Z44" s="939"/>
      <c r="AA44" s="939"/>
      <c r="AB44" s="939"/>
      <c r="AC44" s="939"/>
      <c r="AD44" s="939"/>
      <c r="AE44" s="939"/>
      <c r="AF44" s="939"/>
      <c r="AG44" s="939"/>
      <c r="AH44" s="939"/>
      <c r="AI44" s="939"/>
      <c r="AJ44" s="939"/>
      <c r="AK44" s="939"/>
      <c r="AL44" s="939"/>
      <c r="AM44" s="939"/>
      <c r="AN44" s="939"/>
      <c r="AO44" s="939"/>
      <c r="AP44" s="939"/>
      <c r="AQ44" s="939"/>
      <c r="AR44" s="939"/>
      <c r="AS44" s="939"/>
      <c r="AT44" s="939"/>
      <c r="AU44" s="939"/>
      <c r="AV44" s="939"/>
      <c r="AW44" s="939"/>
      <c r="AX44" s="939"/>
      <c r="AY44" s="939"/>
      <c r="AZ44" s="939"/>
    </row>
    <row r="45" spans="1:52" s="49" customFormat="1" ht="12.75" x14ac:dyDescent="0.2">
      <c r="A45" s="923"/>
      <c r="B45" s="924" t="str">
        <f>IF(Stammblatt!$L$4=1,Q45,R45)</f>
        <v>Produktion</v>
      </c>
      <c r="C45" s="67">
        <v>0</v>
      </c>
      <c r="D45" s="927" t="s">
        <v>118</v>
      </c>
      <c r="E45" s="68">
        <v>0</v>
      </c>
      <c r="F45" s="927" t="str">
        <f>IF(Stammblatt!$L$4=1,$Q$3,$R$3)</f>
        <v>Wochen</v>
      </c>
      <c r="G45" s="69">
        <v>0</v>
      </c>
      <c r="H45" s="927" t="str">
        <f>IF(Stammblatt!$L$4=1,$Q$1,$R$1)</f>
        <v>je Einheit</v>
      </c>
      <c r="I45" s="936">
        <f t="shared" ref="I45:I50" si="0">C45*E45*G45</f>
        <v>0</v>
      </c>
      <c r="J45" s="937"/>
      <c r="K45" s="99"/>
      <c r="L45" s="99"/>
      <c r="M45" s="99"/>
      <c r="N45" s="925"/>
      <c r="O45" s="929"/>
      <c r="P45" s="929"/>
      <c r="Q45" s="941" t="s">
        <v>117</v>
      </c>
      <c r="R45" s="941" t="s">
        <v>527</v>
      </c>
      <c r="S45" s="941"/>
      <c r="T45" s="929"/>
      <c r="U45" s="929"/>
      <c r="V45" s="929"/>
      <c r="W45" s="929"/>
      <c r="X45" s="929"/>
      <c r="Y45" s="929"/>
      <c r="Z45" s="929"/>
      <c r="AA45" s="929"/>
      <c r="AB45" s="929"/>
      <c r="AC45" s="929"/>
      <c r="AD45" s="929"/>
      <c r="AE45" s="929"/>
      <c r="AF45" s="929"/>
      <c r="AG45" s="929"/>
      <c r="AH45" s="929"/>
      <c r="AI45" s="929"/>
      <c r="AJ45" s="929"/>
      <c r="AK45" s="929"/>
      <c r="AL45" s="929"/>
      <c r="AM45" s="929"/>
      <c r="AN45" s="929"/>
      <c r="AO45" s="929"/>
      <c r="AP45" s="929"/>
      <c r="AQ45" s="929"/>
      <c r="AR45" s="929"/>
      <c r="AS45" s="929"/>
      <c r="AT45" s="929"/>
      <c r="AU45" s="929"/>
      <c r="AV45" s="929"/>
      <c r="AW45" s="929"/>
      <c r="AX45" s="929"/>
      <c r="AY45" s="929"/>
      <c r="AZ45" s="929"/>
    </row>
    <row r="46" spans="1:52" s="49" customFormat="1" ht="12.75" x14ac:dyDescent="0.2">
      <c r="A46" s="923"/>
      <c r="B46" s="924" t="str">
        <f>IF(Stammblatt!$L$4=1,Q46,R46)</f>
        <v>Kamera</v>
      </c>
      <c r="C46" s="67">
        <v>0</v>
      </c>
      <c r="D46" s="927" t="s">
        <v>118</v>
      </c>
      <c r="E46" s="68">
        <v>0</v>
      </c>
      <c r="F46" s="927" t="str">
        <f>IF(Stammblatt!$L$4=1,$Q$3,$R$3)</f>
        <v>Wochen</v>
      </c>
      <c r="G46" s="69">
        <v>0</v>
      </c>
      <c r="H46" s="927" t="str">
        <f>IF(Stammblatt!$L$4=1,$Q$1,$R$1)</f>
        <v>je Einheit</v>
      </c>
      <c r="I46" s="936">
        <f t="shared" si="0"/>
        <v>0</v>
      </c>
      <c r="J46" s="937"/>
      <c r="K46" s="99"/>
      <c r="L46" s="99"/>
      <c r="M46" s="99"/>
      <c r="N46" s="925"/>
      <c r="O46" s="929"/>
      <c r="P46" s="929"/>
      <c r="Q46" s="941" t="s">
        <v>204</v>
      </c>
      <c r="R46" s="941" t="s">
        <v>528</v>
      </c>
      <c r="S46" s="941"/>
      <c r="T46" s="929"/>
      <c r="U46" s="929"/>
      <c r="V46" s="929"/>
      <c r="W46" s="929"/>
      <c r="X46" s="929"/>
      <c r="Y46" s="929"/>
      <c r="Z46" s="929"/>
      <c r="AA46" s="929"/>
      <c r="AB46" s="929"/>
      <c r="AC46" s="929"/>
      <c r="AD46" s="929"/>
      <c r="AE46" s="929"/>
      <c r="AF46" s="929"/>
      <c r="AG46" s="929"/>
      <c r="AH46" s="929"/>
      <c r="AI46" s="929"/>
      <c r="AJ46" s="929"/>
      <c r="AK46" s="929"/>
      <c r="AL46" s="929"/>
      <c r="AM46" s="929"/>
      <c r="AN46" s="929"/>
      <c r="AO46" s="929"/>
      <c r="AP46" s="929"/>
      <c r="AQ46" s="929"/>
      <c r="AR46" s="929"/>
      <c r="AS46" s="929"/>
      <c r="AT46" s="929"/>
      <c r="AU46" s="929"/>
      <c r="AV46" s="929"/>
      <c r="AW46" s="929"/>
      <c r="AX46" s="929"/>
      <c r="AY46" s="929"/>
      <c r="AZ46" s="929"/>
    </row>
    <row r="47" spans="1:52" s="49" customFormat="1" ht="12.75" x14ac:dyDescent="0.2">
      <c r="A47" s="923"/>
      <c r="B47" s="924" t="str">
        <f>IF(Stammblatt!$L$4=1,Q47,R47)</f>
        <v>Bühne</v>
      </c>
      <c r="C47" s="67">
        <v>0</v>
      </c>
      <c r="D47" s="927" t="s">
        <v>118</v>
      </c>
      <c r="E47" s="68">
        <v>0</v>
      </c>
      <c r="F47" s="927" t="str">
        <f>IF(Stammblatt!$L$4=1,$Q$3,$R$3)</f>
        <v>Wochen</v>
      </c>
      <c r="G47" s="69">
        <v>0</v>
      </c>
      <c r="H47" s="927" t="str">
        <f>IF(Stammblatt!$L$4=1,$Q$1,$R$1)</f>
        <v>je Einheit</v>
      </c>
      <c r="I47" s="936">
        <f t="shared" si="0"/>
        <v>0</v>
      </c>
      <c r="J47" s="937"/>
      <c r="K47" s="99"/>
      <c r="L47" s="99"/>
      <c r="M47" s="99"/>
      <c r="N47" s="925"/>
      <c r="O47" s="929"/>
      <c r="P47" s="929"/>
      <c r="Q47" s="941" t="s">
        <v>119</v>
      </c>
      <c r="R47" s="941" t="s">
        <v>339</v>
      </c>
      <c r="S47" s="941"/>
      <c r="T47" s="929"/>
      <c r="U47" s="929"/>
      <c r="V47" s="929"/>
      <c r="W47" s="929"/>
      <c r="X47" s="929"/>
      <c r="Y47" s="929"/>
      <c r="Z47" s="929"/>
      <c r="AA47" s="929"/>
      <c r="AB47" s="929"/>
      <c r="AC47" s="929"/>
      <c r="AD47" s="929"/>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row>
    <row r="48" spans="1:52" s="49" customFormat="1" ht="12.75" x14ac:dyDescent="0.2">
      <c r="A48" s="923"/>
      <c r="B48" s="924" t="str">
        <f>IF(Stammblatt!$L$4=1,Q48,R48)</f>
        <v>Licht</v>
      </c>
      <c r="C48" s="67">
        <v>0</v>
      </c>
      <c r="D48" s="927" t="s">
        <v>118</v>
      </c>
      <c r="E48" s="68">
        <v>0</v>
      </c>
      <c r="F48" s="927" t="str">
        <f>IF(Stammblatt!$L$4=1,$Q$3,$R$3)</f>
        <v>Wochen</v>
      </c>
      <c r="G48" s="69">
        <v>0</v>
      </c>
      <c r="H48" s="927" t="str">
        <f>IF(Stammblatt!$L$4=1,$Q$1,$R$1)</f>
        <v>je Einheit</v>
      </c>
      <c r="I48" s="936">
        <f t="shared" si="0"/>
        <v>0</v>
      </c>
      <c r="J48" s="937"/>
      <c r="K48" s="99"/>
      <c r="L48" s="99"/>
      <c r="M48" s="99"/>
      <c r="N48" s="925"/>
      <c r="O48" s="929"/>
      <c r="P48" s="929"/>
      <c r="Q48" s="941" t="s">
        <v>205</v>
      </c>
      <c r="R48" s="941" t="s">
        <v>338</v>
      </c>
      <c r="S48" s="941"/>
      <c r="T48" s="929"/>
      <c r="U48" s="929"/>
      <c r="V48" s="929"/>
      <c r="W48" s="929"/>
      <c r="X48" s="929"/>
      <c r="Y48" s="929"/>
      <c r="Z48" s="929"/>
      <c r="AA48" s="929"/>
      <c r="AB48" s="929"/>
      <c r="AC48" s="929"/>
      <c r="AD48" s="929"/>
      <c r="AE48" s="929"/>
      <c r="AF48" s="929"/>
      <c r="AG48" s="929"/>
      <c r="AH48" s="929"/>
      <c r="AI48" s="929"/>
      <c r="AJ48" s="929"/>
      <c r="AK48" s="929"/>
      <c r="AL48" s="929"/>
      <c r="AM48" s="929"/>
      <c r="AN48" s="929"/>
      <c r="AO48" s="929"/>
      <c r="AP48" s="929"/>
      <c r="AQ48" s="929"/>
      <c r="AR48" s="929"/>
      <c r="AS48" s="929"/>
      <c r="AT48" s="929"/>
      <c r="AU48" s="929"/>
      <c r="AV48" s="929"/>
      <c r="AW48" s="929"/>
      <c r="AX48" s="929"/>
      <c r="AY48" s="929"/>
      <c r="AZ48" s="929"/>
    </row>
    <row r="49" spans="1:52" s="49" customFormat="1" ht="12.75" x14ac:dyDescent="0.2">
      <c r="A49" s="923"/>
      <c r="B49" s="924" t="str">
        <f>IF(Stammblatt!$L$4=1,Q49,R49)</f>
        <v>Requisite</v>
      </c>
      <c r="C49" s="67">
        <v>0</v>
      </c>
      <c r="D49" s="927" t="s">
        <v>118</v>
      </c>
      <c r="E49" s="68">
        <v>0</v>
      </c>
      <c r="F49" s="927" t="str">
        <f>IF(Stammblatt!$L$4=1,$Q$3,$R$3)</f>
        <v>Wochen</v>
      </c>
      <c r="G49" s="69">
        <v>0</v>
      </c>
      <c r="H49" s="927" t="str">
        <f>IF(Stammblatt!$L$4=1,$Q$1,$R$1)</f>
        <v>je Einheit</v>
      </c>
      <c r="I49" s="936">
        <f t="shared" si="0"/>
        <v>0</v>
      </c>
      <c r="J49" s="937"/>
      <c r="K49" s="99"/>
      <c r="L49" s="99"/>
      <c r="M49" s="99"/>
      <c r="N49" s="925"/>
      <c r="O49" s="929"/>
      <c r="P49" s="929"/>
      <c r="Q49" s="941" t="s">
        <v>206</v>
      </c>
      <c r="R49" s="941" t="s">
        <v>484</v>
      </c>
      <c r="S49" s="941"/>
      <c r="T49" s="929"/>
      <c r="U49" s="929"/>
      <c r="V49" s="929"/>
      <c r="W49" s="929"/>
      <c r="X49" s="929"/>
      <c r="Y49" s="929"/>
      <c r="Z49" s="929"/>
      <c r="AA49" s="929"/>
      <c r="AB49" s="929"/>
      <c r="AC49" s="929"/>
      <c r="AD49" s="929"/>
      <c r="AE49" s="929"/>
      <c r="AF49" s="929"/>
      <c r="AG49" s="929"/>
      <c r="AH49" s="929"/>
      <c r="AI49" s="929"/>
      <c r="AJ49" s="929"/>
      <c r="AK49" s="929"/>
      <c r="AL49" s="929"/>
      <c r="AM49" s="929"/>
      <c r="AN49" s="929"/>
      <c r="AO49" s="929"/>
      <c r="AP49" s="929"/>
      <c r="AQ49" s="929"/>
      <c r="AR49" s="929"/>
      <c r="AS49" s="929"/>
      <c r="AT49" s="929"/>
      <c r="AU49" s="929"/>
      <c r="AV49" s="929"/>
      <c r="AW49" s="929"/>
      <c r="AX49" s="929"/>
      <c r="AY49" s="929"/>
      <c r="AZ49" s="929"/>
    </row>
    <row r="50" spans="1:52" s="49" customFormat="1" ht="12.75" x14ac:dyDescent="0.2">
      <c r="A50" s="923"/>
      <c r="B50" s="924" t="str">
        <f>IF(Stammblatt!$L$4=1,Q50,R50)</f>
        <v>Sonstige</v>
      </c>
      <c r="C50" s="67">
        <v>0</v>
      </c>
      <c r="D50" s="927" t="s">
        <v>118</v>
      </c>
      <c r="E50" s="68">
        <v>0</v>
      </c>
      <c r="F50" s="927" t="str">
        <f>IF(Stammblatt!$L$4=1,$Q$3,$R$3)</f>
        <v>Wochen</v>
      </c>
      <c r="G50" s="69">
        <v>0</v>
      </c>
      <c r="H50" s="927" t="str">
        <f>IF(Stammblatt!$L$4=1,$Q$1,$R$1)</f>
        <v>je Einheit</v>
      </c>
      <c r="I50" s="936">
        <f t="shared" si="0"/>
        <v>0</v>
      </c>
      <c r="J50" s="937"/>
      <c r="K50" s="99"/>
      <c r="L50" s="99"/>
      <c r="M50" s="99"/>
      <c r="N50" s="925"/>
      <c r="O50" s="929"/>
      <c r="P50" s="929"/>
      <c r="Q50" s="941" t="s">
        <v>200</v>
      </c>
      <c r="R50" s="941" t="s">
        <v>371</v>
      </c>
      <c r="S50" s="941"/>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row>
    <row r="51" spans="1:52" s="49" customFormat="1" ht="12.75" x14ac:dyDescent="0.2">
      <c r="A51" s="923"/>
      <c r="B51" s="924"/>
      <c r="C51" s="67">
        <v>0</v>
      </c>
      <c r="D51" s="927" t="s">
        <v>118</v>
      </c>
      <c r="E51" s="68">
        <v>0</v>
      </c>
      <c r="F51" s="927" t="str">
        <f>IF(Stammblatt!$L$4=1,$Q$3,$R$3)</f>
        <v>Wochen</v>
      </c>
      <c r="G51" s="69">
        <v>0</v>
      </c>
      <c r="H51" s="927" t="str">
        <f>IF(Stammblatt!$L$4=1,$Q$1,$R$1)</f>
        <v>je Einheit</v>
      </c>
      <c r="I51" s="936">
        <f>C51*E51*G51</f>
        <v>0</v>
      </c>
      <c r="J51" s="937"/>
      <c r="K51" s="99"/>
      <c r="L51" s="99"/>
      <c r="M51" s="99"/>
      <c r="N51" s="925"/>
      <c r="O51" s="929"/>
      <c r="P51" s="929"/>
      <c r="Q51" s="941"/>
      <c r="R51" s="941"/>
      <c r="S51" s="941"/>
      <c r="T51" s="929"/>
      <c r="U51" s="929"/>
      <c r="V51" s="929"/>
      <c r="W51" s="929"/>
      <c r="X51" s="929"/>
      <c r="Y51" s="929"/>
      <c r="Z51" s="929"/>
      <c r="AA51" s="929"/>
      <c r="AB51" s="929"/>
      <c r="AC51" s="929"/>
      <c r="AD51" s="929"/>
      <c r="AE51" s="929"/>
      <c r="AF51" s="929"/>
      <c r="AG51" s="929"/>
      <c r="AH51" s="929"/>
      <c r="AI51" s="929"/>
      <c r="AJ51" s="929"/>
      <c r="AK51" s="929"/>
      <c r="AL51" s="929"/>
      <c r="AM51" s="929"/>
      <c r="AN51" s="929"/>
      <c r="AO51" s="929"/>
      <c r="AP51" s="929"/>
      <c r="AQ51" s="929"/>
      <c r="AR51" s="929"/>
      <c r="AS51" s="929"/>
      <c r="AT51" s="929"/>
      <c r="AU51" s="929"/>
      <c r="AV51" s="929"/>
      <c r="AW51" s="929"/>
      <c r="AX51" s="929"/>
      <c r="AY51" s="929"/>
      <c r="AZ51" s="929"/>
    </row>
    <row r="52" spans="1:52" s="49" customFormat="1" ht="12.75" x14ac:dyDescent="0.2">
      <c r="A52" s="923"/>
      <c r="B52" s="924"/>
      <c r="C52" s="67">
        <v>0</v>
      </c>
      <c r="D52" s="927" t="s">
        <v>118</v>
      </c>
      <c r="E52" s="68">
        <v>0</v>
      </c>
      <c r="F52" s="927" t="str">
        <f>IF(Stammblatt!$L$4=1,$Q$3,$R$3)</f>
        <v>Wochen</v>
      </c>
      <c r="G52" s="69">
        <v>0</v>
      </c>
      <c r="H52" s="927" t="str">
        <f>IF(Stammblatt!$L$4=1,$Q$1,$R$1)</f>
        <v>je Einheit</v>
      </c>
      <c r="I52" s="936">
        <f>C52*E52*G52</f>
        <v>0</v>
      </c>
      <c r="J52" s="937"/>
      <c r="K52" s="99"/>
      <c r="L52" s="99"/>
      <c r="M52" s="99"/>
      <c r="N52" s="925"/>
      <c r="O52" s="929"/>
      <c r="P52" s="929"/>
      <c r="Q52" s="941"/>
      <c r="R52" s="941"/>
      <c r="S52" s="941"/>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29"/>
      <c r="AT52" s="929"/>
      <c r="AU52" s="929"/>
      <c r="AV52" s="929"/>
      <c r="AW52" s="929"/>
      <c r="AX52" s="929"/>
      <c r="AY52" s="929"/>
      <c r="AZ52" s="929"/>
    </row>
    <row r="53" spans="1:52" s="49" customFormat="1" ht="12.75" x14ac:dyDescent="0.2">
      <c r="A53" s="923"/>
      <c r="B53" s="924"/>
      <c r="C53" s="924"/>
      <c r="D53" s="924"/>
      <c r="E53" s="924"/>
      <c r="F53" s="924"/>
      <c r="G53" s="924"/>
      <c r="H53" s="924"/>
      <c r="I53" s="924"/>
      <c r="J53" s="924"/>
      <c r="K53" s="924"/>
      <c r="L53" s="924"/>
      <c r="M53" s="924"/>
      <c r="N53" s="925"/>
      <c r="O53" s="929"/>
      <c r="P53" s="929"/>
      <c r="Q53" s="941"/>
      <c r="R53" s="941"/>
      <c r="S53" s="941"/>
      <c r="T53" s="929"/>
      <c r="U53" s="929"/>
      <c r="V53" s="929"/>
      <c r="W53" s="929"/>
      <c r="X53" s="929"/>
      <c r="Y53" s="929"/>
      <c r="Z53" s="929"/>
      <c r="AA53" s="929"/>
      <c r="AB53" s="929"/>
      <c r="AC53" s="929"/>
      <c r="AD53" s="929"/>
      <c r="AE53" s="929"/>
      <c r="AF53" s="929"/>
      <c r="AG53" s="929"/>
      <c r="AH53" s="929"/>
      <c r="AI53" s="929"/>
      <c r="AJ53" s="929"/>
      <c r="AK53" s="929"/>
      <c r="AL53" s="929"/>
      <c r="AM53" s="929"/>
      <c r="AN53" s="929"/>
      <c r="AO53" s="929"/>
      <c r="AP53" s="929"/>
      <c r="AQ53" s="929"/>
      <c r="AR53" s="929"/>
      <c r="AS53" s="929"/>
      <c r="AT53" s="929"/>
      <c r="AU53" s="929"/>
      <c r="AV53" s="929"/>
      <c r="AW53" s="929"/>
      <c r="AX53" s="929"/>
      <c r="AY53" s="929"/>
      <c r="AZ53" s="929"/>
    </row>
    <row r="54" spans="1:52" s="49" customFormat="1" ht="12.75" x14ac:dyDescent="0.2">
      <c r="A54" s="923"/>
      <c r="B54" s="924" t="s">
        <v>1111</v>
      </c>
      <c r="C54" s="924"/>
      <c r="D54" s="927"/>
      <c r="E54" s="926"/>
      <c r="F54" s="927"/>
      <c r="G54" s="944"/>
      <c r="H54" s="927"/>
      <c r="I54" s="99">
        <v>0</v>
      </c>
      <c r="J54" s="937"/>
      <c r="K54" s="936"/>
      <c r="L54" s="936"/>
      <c r="M54" s="936"/>
      <c r="N54" s="925"/>
      <c r="O54" s="929"/>
      <c r="P54" s="929"/>
      <c r="Q54" s="941"/>
      <c r="R54" s="941"/>
      <c r="S54" s="941"/>
      <c r="T54" s="929"/>
      <c r="U54" s="929"/>
      <c r="V54" s="929"/>
      <c r="W54" s="929"/>
      <c r="X54" s="929"/>
      <c r="Y54" s="929"/>
      <c r="Z54" s="929"/>
      <c r="AA54" s="929"/>
      <c r="AB54" s="929"/>
      <c r="AC54" s="929"/>
      <c r="AD54" s="929"/>
      <c r="AE54" s="929"/>
      <c r="AF54" s="929"/>
      <c r="AG54" s="929"/>
      <c r="AH54" s="929"/>
      <c r="AI54" s="929"/>
      <c r="AJ54" s="929"/>
      <c r="AK54" s="929"/>
      <c r="AL54" s="929"/>
      <c r="AM54" s="929"/>
      <c r="AN54" s="929"/>
      <c r="AO54" s="929"/>
      <c r="AP54" s="929"/>
      <c r="AQ54" s="929"/>
      <c r="AR54" s="929"/>
      <c r="AS54" s="929"/>
      <c r="AT54" s="929"/>
      <c r="AU54" s="929"/>
      <c r="AV54" s="929"/>
      <c r="AW54" s="929"/>
      <c r="AX54" s="929"/>
      <c r="AY54" s="929"/>
      <c r="AZ54" s="929"/>
    </row>
    <row r="55" spans="1:52" s="49" customFormat="1" ht="12.75" x14ac:dyDescent="0.2">
      <c r="A55" s="923"/>
      <c r="B55" s="924" t="str">
        <f>IF(Stammblatt!$L$4=1,Q55,R55)</f>
        <v>Frachten u. Rollgelder</v>
      </c>
      <c r="C55" s="924"/>
      <c r="D55" s="927"/>
      <c r="E55" s="926"/>
      <c r="F55" s="927"/>
      <c r="G55" s="924"/>
      <c r="H55" s="927"/>
      <c r="I55" s="99">
        <v>0</v>
      </c>
      <c r="J55" s="924"/>
      <c r="K55" s="99"/>
      <c r="L55" s="99"/>
      <c r="M55" s="99"/>
      <c r="N55" s="925"/>
      <c r="O55" s="929"/>
      <c r="P55" s="929"/>
      <c r="Q55" s="941" t="s">
        <v>120</v>
      </c>
      <c r="R55" s="941" t="s">
        <v>531</v>
      </c>
      <c r="S55" s="941"/>
      <c r="T55" s="929"/>
      <c r="U55" s="929"/>
      <c r="V55" s="929"/>
      <c r="W55" s="929"/>
      <c r="X55" s="929"/>
      <c r="Y55" s="929"/>
      <c r="Z55" s="929"/>
      <c r="AA55" s="929"/>
      <c r="AB55" s="929"/>
      <c r="AC55" s="929"/>
      <c r="AD55" s="929"/>
      <c r="AE55" s="929"/>
      <c r="AF55" s="929"/>
      <c r="AG55" s="929"/>
      <c r="AH55" s="929"/>
      <c r="AI55" s="929"/>
      <c r="AJ55" s="929"/>
      <c r="AK55" s="929"/>
      <c r="AL55" s="929"/>
      <c r="AM55" s="929"/>
      <c r="AN55" s="929"/>
      <c r="AO55" s="929"/>
      <c r="AP55" s="929"/>
      <c r="AQ55" s="929"/>
      <c r="AR55" s="929"/>
      <c r="AS55" s="929"/>
      <c r="AT55" s="929"/>
      <c r="AU55" s="929"/>
      <c r="AV55" s="929"/>
      <c r="AW55" s="929"/>
      <c r="AX55" s="929"/>
      <c r="AY55" s="929"/>
      <c r="AZ55" s="929"/>
    </row>
    <row r="56" spans="1:52" s="49" customFormat="1" ht="12.75" x14ac:dyDescent="0.2">
      <c r="A56" s="923"/>
      <c r="B56" s="924" t="str">
        <f>IF(Stammblatt!$L$4=1,Q56,R56)</f>
        <v>Taxis</v>
      </c>
      <c r="C56" s="924"/>
      <c r="D56" s="927"/>
      <c r="E56" s="926"/>
      <c r="F56" s="927"/>
      <c r="G56" s="924"/>
      <c r="H56" s="927"/>
      <c r="I56" s="99">
        <v>0</v>
      </c>
      <c r="J56" s="924"/>
      <c r="K56" s="99"/>
      <c r="L56" s="99"/>
      <c r="M56" s="99"/>
      <c r="N56" s="925"/>
      <c r="O56" s="929"/>
      <c r="P56" s="929"/>
      <c r="Q56" s="941" t="s">
        <v>121</v>
      </c>
      <c r="R56" s="941" t="s">
        <v>121</v>
      </c>
      <c r="S56" s="941"/>
      <c r="T56" s="929"/>
      <c r="U56" s="929"/>
      <c r="V56" s="929"/>
      <c r="W56" s="929"/>
      <c r="X56" s="929"/>
      <c r="Y56" s="929"/>
      <c r="Z56" s="929"/>
      <c r="AA56" s="929"/>
      <c r="AB56" s="929"/>
      <c r="AC56" s="929"/>
      <c r="AD56" s="929"/>
      <c r="AE56" s="929"/>
      <c r="AF56" s="929"/>
      <c r="AG56" s="929"/>
      <c r="AH56" s="929"/>
      <c r="AI56" s="929"/>
      <c r="AJ56" s="929"/>
      <c r="AK56" s="929"/>
      <c r="AL56" s="929"/>
      <c r="AM56" s="929"/>
      <c r="AN56" s="929"/>
      <c r="AO56" s="929"/>
      <c r="AP56" s="929"/>
      <c r="AQ56" s="929"/>
      <c r="AR56" s="929"/>
      <c r="AS56" s="929"/>
      <c r="AT56" s="929"/>
      <c r="AU56" s="929"/>
      <c r="AV56" s="929"/>
      <c r="AW56" s="929"/>
      <c r="AX56" s="929"/>
      <c r="AY56" s="929"/>
      <c r="AZ56" s="929"/>
    </row>
    <row r="57" spans="1:52" s="49" customFormat="1" ht="12.75" x14ac:dyDescent="0.2">
      <c r="A57" s="923"/>
      <c r="B57" s="924"/>
      <c r="C57" s="924"/>
      <c r="D57" s="927"/>
      <c r="E57" s="926"/>
      <c r="F57" s="927"/>
      <c r="G57" s="924"/>
      <c r="H57" s="927"/>
      <c r="I57" s="928"/>
      <c r="J57" s="924"/>
      <c r="K57" s="928"/>
      <c r="L57" s="928"/>
      <c r="M57" s="928"/>
      <c r="N57" s="925"/>
      <c r="O57" s="929"/>
      <c r="P57" s="929"/>
      <c r="Q57" s="941"/>
      <c r="R57" s="941"/>
      <c r="S57" s="941"/>
      <c r="T57" s="929"/>
      <c r="U57" s="929"/>
      <c r="V57" s="929"/>
      <c r="W57" s="929"/>
      <c r="X57" s="929"/>
      <c r="Y57" s="929"/>
      <c r="Z57" s="929"/>
      <c r="AA57" s="929"/>
      <c r="AB57" s="929"/>
      <c r="AC57" s="929"/>
      <c r="AD57" s="929"/>
      <c r="AE57" s="929"/>
      <c r="AF57" s="929"/>
      <c r="AG57" s="929"/>
      <c r="AH57" s="929"/>
      <c r="AI57" s="929"/>
      <c r="AJ57" s="929"/>
      <c r="AK57" s="929"/>
      <c r="AL57" s="929"/>
      <c r="AM57" s="929"/>
      <c r="AN57" s="929"/>
      <c r="AO57" s="929"/>
      <c r="AP57" s="929"/>
      <c r="AQ57" s="929"/>
      <c r="AR57" s="929"/>
      <c r="AS57" s="929"/>
      <c r="AT57" s="929"/>
      <c r="AU57" s="929"/>
      <c r="AV57" s="929"/>
      <c r="AW57" s="929"/>
      <c r="AX57" s="929"/>
      <c r="AY57" s="929"/>
      <c r="AZ57" s="929"/>
    </row>
    <row r="58" spans="1:52" s="52" customFormat="1" ht="12.75" x14ac:dyDescent="0.2">
      <c r="A58" s="29"/>
      <c r="B58" s="65" t="str">
        <f>IF(Stammblatt!$L$4=1,Q58,R58)</f>
        <v>Σ-Beförderungs- und Transportkosten, Frachten, Rollgelder und Taxis</v>
      </c>
      <c r="C58" s="31"/>
      <c r="D58" s="40"/>
      <c r="E58" s="39"/>
      <c r="F58" s="36"/>
      <c r="G58" s="30"/>
      <c r="H58" s="30"/>
      <c r="I58" s="98">
        <f>SUM(I45:I57)</f>
        <v>0</v>
      </c>
      <c r="J58" s="947"/>
      <c r="K58" s="950">
        <f>SUM(K45:K57)</f>
        <v>0</v>
      </c>
      <c r="L58" s="950">
        <f>SUM(L45:L57)</f>
        <v>0</v>
      </c>
      <c r="M58" s="950">
        <f>SUM(M45:M57)</f>
        <v>0</v>
      </c>
      <c r="N58" s="925"/>
      <c r="O58" s="940"/>
      <c r="P58" s="940"/>
      <c r="Q58" s="941" t="s">
        <v>233</v>
      </c>
      <c r="R58" s="941" t="s">
        <v>526</v>
      </c>
      <c r="S58" s="941"/>
      <c r="T58" s="940"/>
      <c r="U58" s="940"/>
      <c r="V58" s="940"/>
      <c r="W58" s="940"/>
      <c r="X58" s="940"/>
      <c r="Y58" s="940"/>
      <c r="Z58" s="940"/>
      <c r="AA58" s="940"/>
      <c r="AB58" s="940"/>
      <c r="AC58" s="940"/>
      <c r="AD58" s="940"/>
      <c r="AE58" s="940"/>
      <c r="AF58" s="940"/>
      <c r="AG58" s="940"/>
      <c r="AH58" s="940"/>
      <c r="AI58" s="940"/>
      <c r="AJ58" s="940"/>
      <c r="AK58" s="940"/>
      <c r="AL58" s="940"/>
      <c r="AM58" s="940"/>
      <c r="AN58" s="940"/>
      <c r="AO58" s="940"/>
      <c r="AP58" s="940"/>
      <c r="AQ58" s="940"/>
      <c r="AR58" s="940"/>
      <c r="AS58" s="940"/>
      <c r="AT58" s="940"/>
      <c r="AU58" s="940"/>
      <c r="AV58" s="940"/>
      <c r="AW58" s="940"/>
      <c r="AX58" s="940"/>
      <c r="AY58" s="940"/>
      <c r="AZ58" s="940"/>
    </row>
    <row r="59" spans="1:52" s="49" customFormat="1" ht="12.75" x14ac:dyDescent="0.2">
      <c r="A59" s="923"/>
      <c r="B59" s="924"/>
      <c r="C59" s="924"/>
      <c r="D59" s="927"/>
      <c r="E59" s="926"/>
      <c r="F59" s="927"/>
      <c r="G59" s="924"/>
      <c r="H59" s="927"/>
      <c r="I59" s="928"/>
      <c r="J59" s="924"/>
      <c r="K59" s="928"/>
      <c r="L59" s="928"/>
      <c r="M59" s="928"/>
      <c r="N59" s="925"/>
      <c r="O59" s="929"/>
      <c r="P59" s="929"/>
      <c r="Q59" s="941"/>
      <c r="R59" s="941"/>
      <c r="S59" s="941"/>
      <c r="T59" s="929"/>
      <c r="U59" s="929"/>
      <c r="V59" s="929"/>
      <c r="W59" s="929"/>
      <c r="X59" s="929"/>
      <c r="Y59" s="929"/>
      <c r="Z59" s="929"/>
      <c r="AA59" s="929"/>
      <c r="AB59" s="929"/>
      <c r="AC59" s="929"/>
      <c r="AD59" s="929"/>
      <c r="AE59" s="929"/>
      <c r="AF59" s="929"/>
      <c r="AG59" s="929"/>
      <c r="AH59" s="929"/>
      <c r="AI59" s="929"/>
      <c r="AJ59" s="929"/>
      <c r="AK59" s="929"/>
      <c r="AL59" s="929"/>
      <c r="AM59" s="929"/>
      <c r="AN59" s="929"/>
      <c r="AO59" s="929"/>
      <c r="AP59" s="929"/>
      <c r="AQ59" s="929"/>
      <c r="AR59" s="929"/>
      <c r="AS59" s="929"/>
      <c r="AT59" s="929"/>
      <c r="AU59" s="929"/>
      <c r="AV59" s="929"/>
      <c r="AW59" s="929"/>
      <c r="AX59" s="929"/>
      <c r="AY59" s="929"/>
      <c r="AZ59" s="929"/>
    </row>
    <row r="60" spans="1:52" s="49" customFormat="1" ht="12.75" x14ac:dyDescent="0.2">
      <c r="A60" s="923"/>
      <c r="B60" s="924"/>
      <c r="C60" s="924"/>
      <c r="D60" s="927"/>
      <c r="E60" s="926"/>
      <c r="F60" s="927"/>
      <c r="G60" s="924"/>
      <c r="H60" s="927"/>
      <c r="I60" s="928"/>
      <c r="J60" s="924"/>
      <c r="K60" s="928"/>
      <c r="L60" s="928"/>
      <c r="M60" s="928"/>
      <c r="N60" s="925"/>
      <c r="O60" s="929"/>
      <c r="P60" s="929"/>
      <c r="Q60" s="941"/>
      <c r="R60" s="941"/>
      <c r="S60" s="941"/>
      <c r="T60" s="929"/>
      <c r="U60" s="929"/>
      <c r="V60" s="929"/>
      <c r="W60" s="929"/>
      <c r="X60" s="929"/>
      <c r="Y60" s="929"/>
      <c r="Z60" s="929"/>
      <c r="AA60" s="929"/>
      <c r="AB60" s="929"/>
      <c r="AC60" s="929"/>
      <c r="AD60" s="929"/>
      <c r="AE60" s="929"/>
      <c r="AF60" s="929"/>
      <c r="AG60" s="929"/>
      <c r="AH60" s="929"/>
      <c r="AI60" s="929"/>
      <c r="AJ60" s="929"/>
      <c r="AK60" s="929"/>
      <c r="AL60" s="929"/>
      <c r="AM60" s="929"/>
      <c r="AN60" s="929"/>
      <c r="AO60" s="929"/>
      <c r="AP60" s="929"/>
      <c r="AQ60" s="929"/>
      <c r="AR60" s="929"/>
      <c r="AS60" s="929"/>
      <c r="AT60" s="929"/>
      <c r="AU60" s="929"/>
      <c r="AV60" s="929"/>
      <c r="AW60" s="929"/>
      <c r="AX60" s="929"/>
      <c r="AY60" s="929"/>
      <c r="AZ60" s="929"/>
    </row>
    <row r="61" spans="1:52" s="49" customFormat="1" ht="12.75" x14ac:dyDescent="0.2">
      <c r="A61" s="923"/>
      <c r="B61" s="924"/>
      <c r="C61" s="924"/>
      <c r="D61" s="927"/>
      <c r="E61" s="926"/>
      <c r="F61" s="927"/>
      <c r="G61" s="924"/>
      <c r="H61" s="927"/>
      <c r="I61" s="928"/>
      <c r="J61" s="924"/>
      <c r="K61" s="928"/>
      <c r="L61" s="928"/>
      <c r="M61" s="928"/>
      <c r="N61" s="925"/>
      <c r="O61" s="929"/>
      <c r="P61" s="929"/>
      <c r="Q61" s="941"/>
      <c r="R61" s="941"/>
      <c r="S61" s="941"/>
      <c r="T61" s="929"/>
      <c r="U61" s="929"/>
      <c r="V61" s="929"/>
      <c r="W61" s="929"/>
      <c r="X61" s="929"/>
      <c r="Y61" s="929"/>
      <c r="Z61" s="929"/>
      <c r="AA61" s="929"/>
      <c r="AB61" s="929"/>
      <c r="AC61" s="929"/>
      <c r="AD61" s="929"/>
      <c r="AE61" s="929"/>
      <c r="AF61" s="929"/>
      <c r="AG61" s="929"/>
      <c r="AH61" s="929"/>
      <c r="AI61" s="929"/>
      <c r="AJ61" s="929"/>
      <c r="AK61" s="929"/>
      <c r="AL61" s="929"/>
      <c r="AM61" s="929"/>
      <c r="AN61" s="929"/>
      <c r="AO61" s="929"/>
      <c r="AP61" s="929"/>
      <c r="AQ61" s="929"/>
      <c r="AR61" s="929"/>
      <c r="AS61" s="929"/>
      <c r="AT61" s="929"/>
      <c r="AU61" s="929"/>
      <c r="AV61" s="929"/>
      <c r="AW61" s="929"/>
      <c r="AX61" s="929"/>
      <c r="AY61" s="929"/>
      <c r="AZ61" s="929"/>
    </row>
    <row r="62" spans="1:52" s="49" customFormat="1" ht="12.75" x14ac:dyDescent="0.2">
      <c r="A62" s="923"/>
      <c r="B62" s="924"/>
      <c r="C62" s="924"/>
      <c r="D62" s="927"/>
      <c r="E62" s="926"/>
      <c r="F62" s="927"/>
      <c r="G62" s="924"/>
      <c r="H62" s="927"/>
      <c r="I62" s="928"/>
      <c r="J62" s="924"/>
      <c r="K62" s="928"/>
      <c r="L62" s="928"/>
      <c r="M62" s="928"/>
      <c r="N62" s="925"/>
      <c r="O62" s="929"/>
      <c r="P62" s="929"/>
      <c r="Q62" s="922"/>
      <c r="R62" s="922"/>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O62" s="929"/>
      <c r="AP62" s="929"/>
      <c r="AQ62" s="929"/>
      <c r="AR62" s="929"/>
      <c r="AS62" s="929"/>
      <c r="AT62" s="929"/>
      <c r="AU62" s="929"/>
      <c r="AV62" s="929"/>
      <c r="AW62" s="929"/>
      <c r="AX62" s="929"/>
      <c r="AY62" s="929"/>
      <c r="AZ62" s="929"/>
    </row>
    <row r="63" spans="1:52" s="49" customFormat="1" ht="12.75" x14ac:dyDescent="0.2">
      <c r="A63" s="923"/>
      <c r="B63" s="924"/>
      <c r="C63" s="924"/>
      <c r="D63" s="927"/>
      <c r="E63" s="926"/>
      <c r="F63" s="927"/>
      <c r="G63" s="924"/>
      <c r="H63" s="927"/>
      <c r="I63" s="928"/>
      <c r="J63" s="924"/>
      <c r="K63" s="928"/>
      <c r="L63" s="928"/>
      <c r="M63" s="928"/>
      <c r="N63" s="925"/>
      <c r="O63" s="929"/>
      <c r="P63" s="929"/>
      <c r="Q63" s="922"/>
      <c r="R63" s="922"/>
      <c r="S63" s="929"/>
      <c r="T63" s="929"/>
      <c r="U63" s="929"/>
      <c r="V63" s="929"/>
      <c r="W63" s="929"/>
      <c r="X63" s="929"/>
      <c r="Y63" s="929"/>
      <c r="Z63" s="929"/>
      <c r="AA63" s="929"/>
      <c r="AB63" s="929"/>
      <c r="AC63" s="929"/>
      <c r="AD63" s="929"/>
      <c r="AE63" s="929"/>
      <c r="AF63" s="929"/>
      <c r="AG63" s="929"/>
      <c r="AH63" s="929"/>
      <c r="AI63" s="929"/>
      <c r="AJ63" s="929"/>
      <c r="AK63" s="929"/>
      <c r="AL63" s="929"/>
      <c r="AM63" s="929"/>
      <c r="AN63" s="929"/>
      <c r="AO63" s="929"/>
      <c r="AP63" s="929"/>
      <c r="AQ63" s="929"/>
      <c r="AR63" s="929"/>
      <c r="AS63" s="929"/>
      <c r="AT63" s="929"/>
      <c r="AU63" s="929"/>
      <c r="AV63" s="929"/>
      <c r="AW63" s="929"/>
      <c r="AX63" s="929"/>
      <c r="AY63" s="929"/>
      <c r="AZ63" s="929"/>
    </row>
    <row r="64" spans="1:52" s="49" customFormat="1" ht="12.75" x14ac:dyDescent="0.2">
      <c r="A64" s="945"/>
      <c r="B64" s="924"/>
      <c r="C64" s="924"/>
      <c r="D64" s="927"/>
      <c r="E64" s="926"/>
      <c r="F64" s="927"/>
      <c r="G64" s="924"/>
      <c r="H64" s="927"/>
      <c r="I64" s="928"/>
      <c r="J64" s="924"/>
      <c r="K64" s="928"/>
      <c r="L64" s="928"/>
      <c r="M64" s="928"/>
      <c r="N64" s="925"/>
      <c r="O64" s="929"/>
      <c r="P64" s="929"/>
      <c r="Q64" s="922"/>
      <c r="R64" s="922"/>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row>
    <row r="65" spans="1:52" s="49" customFormat="1" ht="12.75" x14ac:dyDescent="0.2">
      <c r="A65" s="945"/>
      <c r="B65" s="924"/>
      <c r="C65" s="924"/>
      <c r="D65" s="927"/>
      <c r="E65" s="926"/>
      <c r="F65" s="927"/>
      <c r="G65" s="924"/>
      <c r="H65" s="927"/>
      <c r="I65" s="928"/>
      <c r="J65" s="924"/>
      <c r="K65" s="928"/>
      <c r="L65" s="928"/>
      <c r="M65" s="928"/>
      <c r="N65" s="925"/>
      <c r="O65" s="929"/>
      <c r="P65" s="929"/>
      <c r="Q65" s="922"/>
      <c r="R65" s="922"/>
      <c r="S65" s="929"/>
      <c r="T65" s="929"/>
      <c r="U65" s="929"/>
      <c r="V65" s="929"/>
      <c r="W65" s="929"/>
      <c r="X65" s="929"/>
      <c r="Y65" s="929"/>
      <c r="Z65" s="929"/>
      <c r="AA65" s="929"/>
      <c r="AB65" s="929"/>
      <c r="AC65" s="929"/>
      <c r="AD65" s="929"/>
      <c r="AE65" s="929"/>
      <c r="AF65" s="929"/>
      <c r="AG65" s="929"/>
      <c r="AH65" s="929"/>
      <c r="AI65" s="929"/>
      <c r="AJ65" s="929"/>
      <c r="AK65" s="929"/>
      <c r="AL65" s="929"/>
      <c r="AM65" s="929"/>
      <c r="AN65" s="929"/>
      <c r="AO65" s="929"/>
      <c r="AP65" s="929"/>
      <c r="AQ65" s="929"/>
      <c r="AR65" s="929"/>
      <c r="AS65" s="929"/>
      <c r="AT65" s="929"/>
      <c r="AU65" s="929"/>
      <c r="AV65" s="929"/>
      <c r="AW65" s="929"/>
      <c r="AX65" s="929"/>
      <c r="AY65" s="929"/>
      <c r="AZ65" s="929"/>
    </row>
    <row r="66" spans="1:52" s="49" customFormat="1" ht="12.75" x14ac:dyDescent="0.2">
      <c r="A66" s="945"/>
      <c r="B66" s="924"/>
      <c r="C66" s="924"/>
      <c r="D66" s="927"/>
      <c r="E66" s="926"/>
      <c r="F66" s="927"/>
      <c r="G66" s="924"/>
      <c r="H66" s="927"/>
      <c r="I66" s="928"/>
      <c r="J66" s="924"/>
      <c r="K66" s="928"/>
      <c r="L66" s="928"/>
      <c r="M66" s="928"/>
      <c r="N66" s="925"/>
      <c r="O66" s="929"/>
      <c r="P66" s="929"/>
      <c r="Q66" s="922"/>
      <c r="R66" s="922"/>
      <c r="S66" s="929"/>
      <c r="T66" s="929"/>
      <c r="U66" s="929"/>
      <c r="V66" s="929"/>
      <c r="W66" s="929"/>
      <c r="X66" s="929"/>
      <c r="Y66" s="929"/>
      <c r="Z66" s="929"/>
      <c r="AA66" s="929"/>
      <c r="AB66" s="929"/>
      <c r="AC66" s="929"/>
      <c r="AD66" s="929"/>
      <c r="AE66" s="929"/>
      <c r="AF66" s="929"/>
      <c r="AG66" s="929"/>
      <c r="AH66" s="929"/>
      <c r="AI66" s="929"/>
      <c r="AJ66" s="929"/>
      <c r="AK66" s="929"/>
      <c r="AL66" s="929"/>
      <c r="AM66" s="929"/>
      <c r="AN66" s="929"/>
      <c r="AO66" s="929"/>
      <c r="AP66" s="929"/>
      <c r="AQ66" s="929"/>
      <c r="AR66" s="929"/>
      <c r="AS66" s="929"/>
      <c r="AT66" s="929"/>
      <c r="AU66" s="929"/>
      <c r="AV66" s="929"/>
      <c r="AW66" s="929"/>
      <c r="AX66" s="929"/>
      <c r="AY66" s="929"/>
      <c r="AZ66" s="929"/>
    </row>
    <row r="67" spans="1:52" s="49" customFormat="1" ht="12.75" x14ac:dyDescent="0.2">
      <c r="A67" s="945"/>
      <c r="B67" s="924"/>
      <c r="C67" s="924"/>
      <c r="D67" s="927"/>
      <c r="E67" s="926"/>
      <c r="F67" s="927"/>
      <c r="G67" s="924"/>
      <c r="H67" s="927"/>
      <c r="I67" s="928"/>
      <c r="J67" s="924"/>
      <c r="K67" s="928"/>
      <c r="L67" s="928"/>
      <c r="M67" s="928"/>
      <c r="N67" s="925"/>
      <c r="O67" s="929"/>
      <c r="P67" s="929"/>
      <c r="Q67" s="922"/>
      <c r="R67" s="922"/>
      <c r="S67" s="929"/>
      <c r="T67" s="929"/>
      <c r="U67" s="929"/>
      <c r="V67" s="929"/>
      <c r="W67" s="929"/>
      <c r="X67" s="929"/>
      <c r="Y67" s="929"/>
      <c r="Z67" s="929"/>
      <c r="AA67" s="929"/>
      <c r="AB67" s="929"/>
      <c r="AC67" s="929"/>
      <c r="AD67" s="929"/>
      <c r="AE67" s="929"/>
      <c r="AF67" s="929"/>
      <c r="AG67" s="929"/>
      <c r="AH67" s="929"/>
      <c r="AI67" s="929"/>
      <c r="AJ67" s="929"/>
      <c r="AK67" s="929"/>
      <c r="AL67" s="929"/>
      <c r="AM67" s="929"/>
      <c r="AN67" s="929"/>
      <c r="AO67" s="929"/>
      <c r="AP67" s="929"/>
      <c r="AQ67" s="929"/>
      <c r="AR67" s="929"/>
      <c r="AS67" s="929"/>
      <c r="AT67" s="929"/>
      <c r="AU67" s="929"/>
      <c r="AV67" s="929"/>
      <c r="AW67" s="929"/>
      <c r="AX67" s="929"/>
      <c r="AY67" s="929"/>
      <c r="AZ67" s="929"/>
    </row>
    <row r="68" spans="1:52" s="49" customFormat="1" ht="12.75" x14ac:dyDescent="0.2">
      <c r="A68" s="945"/>
      <c r="B68" s="924"/>
      <c r="C68" s="924"/>
      <c r="D68" s="927"/>
      <c r="E68" s="926"/>
      <c r="F68" s="927"/>
      <c r="G68" s="924"/>
      <c r="H68" s="927"/>
      <c r="I68" s="928"/>
      <c r="J68" s="924"/>
      <c r="K68" s="928"/>
      <c r="L68" s="928"/>
      <c r="M68" s="928"/>
      <c r="N68" s="925"/>
      <c r="O68" s="929"/>
      <c r="P68" s="929"/>
      <c r="Q68" s="922"/>
      <c r="R68" s="922"/>
      <c r="S68" s="929"/>
      <c r="T68" s="929"/>
      <c r="U68" s="929"/>
      <c r="V68" s="929"/>
      <c r="W68" s="929"/>
      <c r="X68" s="929"/>
      <c r="Y68" s="929"/>
      <c r="Z68" s="929"/>
      <c r="AA68" s="929"/>
      <c r="AB68" s="929"/>
      <c r="AC68" s="929"/>
      <c r="AD68" s="929"/>
      <c r="AE68" s="929"/>
      <c r="AF68" s="929"/>
      <c r="AG68" s="929"/>
      <c r="AH68" s="929"/>
      <c r="AI68" s="929"/>
      <c r="AJ68" s="929"/>
      <c r="AK68" s="929"/>
      <c r="AL68" s="929"/>
      <c r="AM68" s="929"/>
      <c r="AN68" s="929"/>
      <c r="AO68" s="929"/>
      <c r="AP68" s="929"/>
      <c r="AQ68" s="929"/>
      <c r="AR68" s="929"/>
      <c r="AS68" s="929"/>
      <c r="AT68" s="929"/>
      <c r="AU68" s="929"/>
      <c r="AV68" s="929"/>
      <c r="AW68" s="929"/>
      <c r="AX68" s="929"/>
      <c r="AY68" s="929"/>
      <c r="AZ68" s="929"/>
    </row>
    <row r="69" spans="1:52" s="49" customFormat="1" ht="12.75" x14ac:dyDescent="0.2">
      <c r="A69" s="945"/>
      <c r="B69" s="924"/>
      <c r="C69" s="924"/>
      <c r="D69" s="927"/>
      <c r="E69" s="926"/>
      <c r="F69" s="927"/>
      <c r="G69" s="924"/>
      <c r="H69" s="927"/>
      <c r="I69" s="928"/>
      <c r="J69" s="924"/>
      <c r="K69" s="928"/>
      <c r="L69" s="928"/>
      <c r="M69" s="928"/>
      <c r="N69" s="925"/>
      <c r="O69" s="929"/>
      <c r="P69" s="929"/>
      <c r="Q69" s="922"/>
      <c r="R69" s="922"/>
      <c r="S69" s="929"/>
      <c r="T69" s="929"/>
      <c r="U69" s="929"/>
      <c r="V69" s="929"/>
      <c r="W69" s="929"/>
      <c r="X69" s="929"/>
      <c r="Y69" s="929"/>
      <c r="Z69" s="929"/>
      <c r="AA69" s="929"/>
      <c r="AB69" s="929"/>
      <c r="AC69" s="929"/>
      <c r="AD69" s="929"/>
      <c r="AE69" s="929"/>
      <c r="AF69" s="929"/>
      <c r="AG69" s="929"/>
      <c r="AH69" s="929"/>
      <c r="AI69" s="929"/>
      <c r="AJ69" s="929"/>
      <c r="AK69" s="929"/>
      <c r="AL69" s="929"/>
      <c r="AM69" s="929"/>
      <c r="AN69" s="929"/>
      <c r="AO69" s="929"/>
      <c r="AP69" s="929"/>
      <c r="AQ69" s="929"/>
      <c r="AR69" s="929"/>
      <c r="AS69" s="929"/>
      <c r="AT69" s="929"/>
      <c r="AU69" s="929"/>
      <c r="AV69" s="929"/>
      <c r="AW69" s="929"/>
      <c r="AX69" s="929"/>
      <c r="AY69" s="929"/>
      <c r="AZ69" s="929"/>
    </row>
    <row r="70" spans="1:52" s="49" customFormat="1" ht="12.75" x14ac:dyDescent="0.2">
      <c r="A70" s="945"/>
      <c r="B70" s="924"/>
      <c r="C70" s="924"/>
      <c r="D70" s="927"/>
      <c r="E70" s="926"/>
      <c r="F70" s="927"/>
      <c r="G70" s="924"/>
      <c r="H70" s="927"/>
      <c r="I70" s="928"/>
      <c r="J70" s="924"/>
      <c r="K70" s="928"/>
      <c r="L70" s="928"/>
      <c r="M70" s="928"/>
      <c r="N70" s="925"/>
      <c r="O70" s="929"/>
      <c r="P70" s="929"/>
      <c r="Q70" s="922"/>
      <c r="R70" s="922"/>
      <c r="S70" s="929"/>
      <c r="T70" s="929"/>
      <c r="U70" s="929"/>
      <c r="V70" s="929"/>
      <c r="W70" s="929"/>
      <c r="X70" s="929"/>
      <c r="Y70" s="929"/>
      <c r="Z70" s="929"/>
      <c r="AA70" s="929"/>
      <c r="AB70" s="929"/>
      <c r="AC70" s="929"/>
      <c r="AD70" s="929"/>
      <c r="AE70" s="929"/>
      <c r="AF70" s="929"/>
      <c r="AG70" s="929"/>
      <c r="AH70" s="929"/>
      <c r="AI70" s="929"/>
      <c r="AJ70" s="929"/>
      <c r="AK70" s="929"/>
      <c r="AL70" s="929"/>
      <c r="AM70" s="929"/>
      <c r="AN70" s="929"/>
      <c r="AO70" s="929"/>
      <c r="AP70" s="929"/>
      <c r="AQ70" s="929"/>
      <c r="AR70" s="929"/>
      <c r="AS70" s="929"/>
      <c r="AT70" s="929"/>
      <c r="AU70" s="929"/>
      <c r="AV70" s="929"/>
      <c r="AW70" s="929"/>
      <c r="AX70" s="929"/>
      <c r="AY70" s="929"/>
      <c r="AZ70" s="929"/>
    </row>
    <row r="71" spans="1:52" s="49" customFormat="1" ht="12.75" x14ac:dyDescent="0.2">
      <c r="A71" s="945"/>
      <c r="B71" s="924"/>
      <c r="C71" s="924"/>
      <c r="D71" s="927"/>
      <c r="E71" s="926"/>
      <c r="F71" s="927"/>
      <c r="G71" s="924"/>
      <c r="H71" s="927"/>
      <c r="I71" s="928"/>
      <c r="J71" s="924"/>
      <c r="K71" s="928"/>
      <c r="L71" s="928"/>
      <c r="M71" s="928"/>
      <c r="N71" s="925"/>
      <c r="O71" s="929"/>
      <c r="P71" s="929"/>
      <c r="Q71" s="922"/>
      <c r="R71" s="922"/>
      <c r="S71" s="929"/>
      <c r="T71" s="929"/>
      <c r="U71" s="929"/>
      <c r="V71" s="929"/>
      <c r="W71" s="929"/>
      <c r="X71" s="929"/>
      <c r="Y71" s="929"/>
      <c r="Z71" s="929"/>
      <c r="AA71" s="929"/>
      <c r="AB71" s="929"/>
      <c r="AC71" s="929"/>
      <c r="AD71" s="929"/>
      <c r="AE71" s="929"/>
      <c r="AF71" s="929"/>
      <c r="AG71" s="929"/>
      <c r="AH71" s="929"/>
      <c r="AI71" s="929"/>
      <c r="AJ71" s="929"/>
      <c r="AK71" s="929"/>
      <c r="AL71" s="929"/>
      <c r="AM71" s="929"/>
      <c r="AN71" s="929"/>
      <c r="AO71" s="929"/>
      <c r="AP71" s="929"/>
      <c r="AQ71" s="929"/>
      <c r="AR71" s="929"/>
      <c r="AS71" s="929"/>
      <c r="AT71" s="929"/>
      <c r="AU71" s="929"/>
      <c r="AV71" s="929"/>
      <c r="AW71" s="929"/>
      <c r="AX71" s="929"/>
      <c r="AY71" s="929"/>
      <c r="AZ71" s="929"/>
    </row>
    <row r="72" spans="1:52" s="49" customFormat="1" ht="12.75" x14ac:dyDescent="0.2">
      <c r="A72" s="945"/>
      <c r="B72" s="924"/>
      <c r="C72" s="924"/>
      <c r="D72" s="927"/>
      <c r="E72" s="926"/>
      <c r="F72" s="927"/>
      <c r="G72" s="924"/>
      <c r="H72" s="927"/>
      <c r="I72" s="928"/>
      <c r="J72" s="924"/>
      <c r="K72" s="928"/>
      <c r="L72" s="928"/>
      <c r="M72" s="928"/>
      <c r="N72" s="925"/>
      <c r="O72" s="929"/>
      <c r="P72" s="929"/>
      <c r="Q72" s="922"/>
      <c r="R72" s="922"/>
      <c r="S72" s="929"/>
      <c r="T72" s="929"/>
      <c r="U72" s="929"/>
      <c r="V72" s="929"/>
      <c r="W72" s="929"/>
      <c r="X72" s="929"/>
      <c r="Y72" s="929"/>
      <c r="Z72" s="929"/>
      <c r="AA72" s="929"/>
      <c r="AB72" s="929"/>
      <c r="AC72" s="929"/>
      <c r="AD72" s="929"/>
      <c r="AE72" s="929"/>
      <c r="AF72" s="929"/>
      <c r="AG72" s="929"/>
      <c r="AH72" s="929"/>
      <c r="AI72" s="929"/>
      <c r="AJ72" s="929"/>
      <c r="AK72" s="929"/>
      <c r="AL72" s="929"/>
      <c r="AM72" s="929"/>
      <c r="AN72" s="929"/>
      <c r="AO72" s="929"/>
      <c r="AP72" s="929"/>
      <c r="AQ72" s="929"/>
      <c r="AR72" s="929"/>
      <c r="AS72" s="929"/>
      <c r="AT72" s="929"/>
      <c r="AU72" s="929"/>
      <c r="AV72" s="929"/>
      <c r="AW72" s="929"/>
      <c r="AX72" s="929"/>
      <c r="AY72" s="929"/>
      <c r="AZ72" s="929"/>
    </row>
    <row r="73" spans="1:52" s="49" customFormat="1" ht="12.75" x14ac:dyDescent="0.2">
      <c r="A73" s="945"/>
      <c r="B73" s="924"/>
      <c r="C73" s="924"/>
      <c r="D73" s="927"/>
      <c r="E73" s="926"/>
      <c r="F73" s="927"/>
      <c r="G73" s="924"/>
      <c r="H73" s="927"/>
      <c r="I73" s="928"/>
      <c r="J73" s="924"/>
      <c r="K73" s="928"/>
      <c r="L73" s="928"/>
      <c r="M73" s="928"/>
      <c r="N73" s="925"/>
      <c r="O73" s="929"/>
      <c r="P73" s="929"/>
      <c r="Q73" s="922"/>
      <c r="R73" s="922"/>
      <c r="S73" s="929"/>
      <c r="T73" s="929"/>
      <c r="U73" s="929"/>
      <c r="V73" s="929"/>
      <c r="W73" s="929"/>
      <c r="X73" s="929"/>
      <c r="Y73" s="929"/>
      <c r="Z73" s="929"/>
      <c r="AA73" s="929"/>
      <c r="AB73" s="929"/>
      <c r="AC73" s="929"/>
      <c r="AD73" s="929"/>
      <c r="AE73" s="929"/>
      <c r="AF73" s="929"/>
      <c r="AG73" s="929"/>
      <c r="AH73" s="929"/>
      <c r="AI73" s="929"/>
      <c r="AJ73" s="929"/>
      <c r="AK73" s="929"/>
      <c r="AL73" s="929"/>
      <c r="AM73" s="929"/>
      <c r="AN73" s="929"/>
      <c r="AO73" s="929"/>
      <c r="AP73" s="929"/>
      <c r="AQ73" s="929"/>
      <c r="AR73" s="929"/>
      <c r="AS73" s="929"/>
      <c r="AT73" s="929"/>
      <c r="AU73" s="929"/>
      <c r="AV73" s="929"/>
      <c r="AW73" s="929"/>
      <c r="AX73" s="929"/>
      <c r="AY73" s="929"/>
      <c r="AZ73" s="929"/>
    </row>
    <row r="74" spans="1:52" s="49" customFormat="1" ht="12.75" x14ac:dyDescent="0.2">
      <c r="A74" s="945"/>
      <c r="B74" s="924"/>
      <c r="C74" s="924"/>
      <c r="D74" s="927"/>
      <c r="E74" s="926"/>
      <c r="F74" s="927"/>
      <c r="G74" s="924"/>
      <c r="H74" s="927"/>
      <c r="I74" s="928"/>
      <c r="J74" s="924"/>
      <c r="K74" s="928"/>
      <c r="L74" s="928"/>
      <c r="M74" s="928"/>
      <c r="N74" s="925"/>
      <c r="O74" s="929"/>
      <c r="P74" s="929"/>
      <c r="Q74" s="922"/>
      <c r="R74" s="922"/>
      <c r="S74" s="929"/>
      <c r="T74" s="929"/>
      <c r="U74" s="929"/>
      <c r="V74" s="929"/>
      <c r="W74" s="929"/>
      <c r="X74" s="929"/>
      <c r="Y74" s="929"/>
      <c r="Z74" s="929"/>
      <c r="AA74" s="929"/>
      <c r="AB74" s="929"/>
      <c r="AC74" s="929"/>
      <c r="AD74" s="929"/>
      <c r="AE74" s="929"/>
      <c r="AF74" s="929"/>
      <c r="AG74" s="929"/>
      <c r="AH74" s="929"/>
      <c r="AI74" s="929"/>
      <c r="AJ74" s="929"/>
      <c r="AK74" s="929"/>
      <c r="AL74" s="929"/>
      <c r="AM74" s="929"/>
      <c r="AN74" s="929"/>
      <c r="AO74" s="929"/>
      <c r="AP74" s="929"/>
      <c r="AQ74" s="929"/>
      <c r="AR74" s="929"/>
      <c r="AS74" s="929"/>
      <c r="AT74" s="929"/>
      <c r="AU74" s="929"/>
      <c r="AV74" s="929"/>
      <c r="AW74" s="929"/>
      <c r="AX74" s="929"/>
      <c r="AY74" s="929"/>
      <c r="AZ74" s="929"/>
    </row>
    <row r="75" spans="1:52" s="49" customFormat="1" ht="12.75" x14ac:dyDescent="0.2">
      <c r="A75" s="945"/>
      <c r="B75" s="924"/>
      <c r="C75" s="924"/>
      <c r="D75" s="927"/>
      <c r="E75" s="926"/>
      <c r="F75" s="927"/>
      <c r="G75" s="924"/>
      <c r="H75" s="927"/>
      <c r="I75" s="928"/>
      <c r="J75" s="924"/>
      <c r="K75" s="928"/>
      <c r="L75" s="928"/>
      <c r="M75" s="928"/>
      <c r="N75" s="925"/>
      <c r="O75" s="929"/>
      <c r="P75" s="929"/>
      <c r="Q75" s="922"/>
      <c r="R75" s="922"/>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row>
    <row r="76" spans="1:52" s="49" customFormat="1" ht="12.75" x14ac:dyDescent="0.2">
      <c r="A76" s="945"/>
      <c r="B76" s="924"/>
      <c r="C76" s="924"/>
      <c r="D76" s="927"/>
      <c r="E76" s="926"/>
      <c r="F76" s="927"/>
      <c r="G76" s="924"/>
      <c r="H76" s="927"/>
      <c r="I76" s="928"/>
      <c r="J76" s="924"/>
      <c r="K76" s="928"/>
      <c r="L76" s="928"/>
      <c r="M76" s="928"/>
      <c r="N76" s="925"/>
      <c r="O76" s="929"/>
      <c r="P76" s="929"/>
      <c r="Q76" s="922"/>
      <c r="R76" s="922"/>
      <c r="S76" s="929"/>
      <c r="T76" s="929"/>
      <c r="U76" s="929"/>
      <c r="V76" s="929"/>
      <c r="W76" s="929"/>
      <c r="X76" s="929"/>
      <c r="Y76" s="929"/>
      <c r="Z76" s="929"/>
      <c r="AA76" s="929"/>
      <c r="AB76" s="929"/>
      <c r="AC76" s="929"/>
      <c r="AD76" s="929"/>
      <c r="AE76" s="929"/>
      <c r="AF76" s="929"/>
      <c r="AG76" s="929"/>
      <c r="AH76" s="929"/>
      <c r="AI76" s="929"/>
      <c r="AJ76" s="929"/>
      <c r="AK76" s="929"/>
      <c r="AL76" s="929"/>
      <c r="AM76" s="929"/>
      <c r="AN76" s="929"/>
      <c r="AO76" s="929"/>
      <c r="AP76" s="929"/>
      <c r="AQ76" s="929"/>
      <c r="AR76" s="929"/>
      <c r="AS76" s="929"/>
      <c r="AT76" s="929"/>
      <c r="AU76" s="929"/>
      <c r="AV76" s="929"/>
      <c r="AW76" s="929"/>
      <c r="AX76" s="929"/>
      <c r="AY76" s="929"/>
      <c r="AZ76" s="929"/>
    </row>
    <row r="77" spans="1:52" s="49" customFormat="1" ht="12.75" x14ac:dyDescent="0.2">
      <c r="A77" s="945"/>
      <c r="B77" s="924"/>
      <c r="C77" s="924"/>
      <c r="D77" s="927"/>
      <c r="E77" s="926"/>
      <c r="F77" s="927"/>
      <c r="G77" s="924"/>
      <c r="H77" s="927"/>
      <c r="I77" s="928"/>
      <c r="J77" s="924"/>
      <c r="K77" s="928"/>
      <c r="L77" s="928"/>
      <c r="M77" s="928"/>
      <c r="N77" s="925"/>
      <c r="O77" s="929"/>
      <c r="P77" s="929"/>
      <c r="Q77" s="922"/>
      <c r="R77" s="922"/>
      <c r="S77" s="929"/>
      <c r="T77" s="929"/>
      <c r="U77" s="929"/>
      <c r="V77" s="929"/>
      <c r="W77" s="929"/>
      <c r="X77" s="929"/>
      <c r="Y77" s="929"/>
      <c r="Z77" s="929"/>
      <c r="AA77" s="929"/>
      <c r="AB77" s="929"/>
      <c r="AC77" s="929"/>
      <c r="AD77" s="929"/>
      <c r="AE77" s="929"/>
      <c r="AF77" s="929"/>
      <c r="AG77" s="929"/>
      <c r="AH77" s="929"/>
      <c r="AI77" s="929"/>
      <c r="AJ77" s="929"/>
      <c r="AK77" s="929"/>
      <c r="AL77" s="929"/>
      <c r="AM77" s="929"/>
      <c r="AN77" s="929"/>
      <c r="AO77" s="929"/>
      <c r="AP77" s="929"/>
      <c r="AQ77" s="929"/>
      <c r="AR77" s="929"/>
      <c r="AS77" s="929"/>
      <c r="AT77" s="929"/>
      <c r="AU77" s="929"/>
      <c r="AV77" s="929"/>
      <c r="AW77" s="929"/>
      <c r="AX77" s="929"/>
      <c r="AY77" s="929"/>
      <c r="AZ77" s="929"/>
    </row>
    <row r="78" spans="1:52" s="49" customFormat="1" ht="12.75" x14ac:dyDescent="0.2">
      <c r="A78" s="945"/>
      <c r="B78" s="924"/>
      <c r="C78" s="924"/>
      <c r="D78" s="927"/>
      <c r="E78" s="926"/>
      <c r="F78" s="927"/>
      <c r="G78" s="924"/>
      <c r="H78" s="927"/>
      <c r="I78" s="928"/>
      <c r="J78" s="924"/>
      <c r="K78" s="928"/>
      <c r="L78" s="928"/>
      <c r="M78" s="928"/>
      <c r="N78" s="925"/>
      <c r="O78" s="929"/>
      <c r="P78" s="929"/>
      <c r="Q78" s="922"/>
      <c r="R78" s="922"/>
      <c r="S78" s="929"/>
      <c r="T78" s="929"/>
      <c r="U78" s="929"/>
      <c r="V78" s="929"/>
      <c r="W78" s="929"/>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c r="AU78" s="929"/>
      <c r="AV78" s="929"/>
      <c r="AW78" s="929"/>
      <c r="AX78" s="929"/>
      <c r="AY78" s="929"/>
      <c r="AZ78" s="929"/>
    </row>
    <row r="79" spans="1:52" s="49" customFormat="1" ht="12.75" x14ac:dyDescent="0.2">
      <c r="A79" s="945"/>
      <c r="B79" s="924"/>
      <c r="C79" s="924"/>
      <c r="D79" s="927"/>
      <c r="E79" s="926"/>
      <c r="F79" s="927"/>
      <c r="G79" s="924"/>
      <c r="H79" s="927"/>
      <c r="I79" s="928"/>
      <c r="J79" s="924"/>
      <c r="K79" s="928"/>
      <c r="L79" s="928"/>
      <c r="M79" s="928"/>
      <c r="N79" s="925"/>
      <c r="O79" s="929"/>
      <c r="P79" s="929"/>
      <c r="Q79" s="922"/>
      <c r="R79" s="922"/>
      <c r="S79" s="929"/>
      <c r="T79" s="929"/>
      <c r="U79" s="929"/>
      <c r="V79" s="929"/>
      <c r="W79" s="929"/>
      <c r="X79" s="929"/>
      <c r="Y79" s="929"/>
      <c r="Z79" s="929"/>
      <c r="AA79" s="929"/>
      <c r="AB79" s="929"/>
      <c r="AC79" s="929"/>
      <c r="AD79" s="929"/>
      <c r="AE79" s="929"/>
      <c r="AF79" s="929"/>
      <c r="AG79" s="929"/>
      <c r="AH79" s="929"/>
      <c r="AI79" s="929"/>
      <c r="AJ79" s="929"/>
      <c r="AK79" s="929"/>
      <c r="AL79" s="929"/>
      <c r="AM79" s="929"/>
      <c r="AN79" s="929"/>
      <c r="AO79" s="929"/>
      <c r="AP79" s="929"/>
      <c r="AQ79" s="929"/>
      <c r="AR79" s="929"/>
      <c r="AS79" s="929"/>
      <c r="AT79" s="929"/>
      <c r="AU79" s="929"/>
      <c r="AV79" s="929"/>
      <c r="AW79" s="929"/>
      <c r="AX79" s="929"/>
      <c r="AY79" s="929"/>
      <c r="AZ79" s="929"/>
    </row>
    <row r="80" spans="1:52" s="49" customFormat="1" ht="12.75" x14ac:dyDescent="0.2">
      <c r="A80" s="945"/>
      <c r="B80" s="924"/>
      <c r="C80" s="924"/>
      <c r="D80" s="927"/>
      <c r="E80" s="926"/>
      <c r="F80" s="927"/>
      <c r="G80" s="924"/>
      <c r="H80" s="927"/>
      <c r="I80" s="928"/>
      <c r="J80" s="924"/>
      <c r="K80" s="928"/>
      <c r="L80" s="928"/>
      <c r="M80" s="928"/>
      <c r="N80" s="925"/>
      <c r="O80" s="929"/>
      <c r="P80" s="929"/>
      <c r="Q80" s="922"/>
      <c r="R80" s="922"/>
      <c r="S80" s="929"/>
      <c r="T80" s="929"/>
      <c r="U80" s="929"/>
      <c r="V80" s="929"/>
      <c r="W80" s="929"/>
      <c r="X80" s="929"/>
      <c r="Y80" s="929"/>
      <c r="Z80" s="929"/>
      <c r="AA80" s="929"/>
      <c r="AB80" s="929"/>
      <c r="AC80" s="929"/>
      <c r="AD80" s="929"/>
      <c r="AE80" s="929"/>
      <c r="AF80" s="929"/>
      <c r="AG80" s="929"/>
      <c r="AH80" s="929"/>
      <c r="AI80" s="929"/>
      <c r="AJ80" s="929"/>
      <c r="AK80" s="929"/>
      <c r="AL80" s="929"/>
      <c r="AM80" s="929"/>
      <c r="AN80" s="929"/>
      <c r="AO80" s="929"/>
      <c r="AP80" s="929"/>
      <c r="AQ80" s="929"/>
      <c r="AR80" s="929"/>
      <c r="AS80" s="929"/>
      <c r="AT80" s="929"/>
      <c r="AU80" s="929"/>
      <c r="AV80" s="929"/>
      <c r="AW80" s="929"/>
      <c r="AX80" s="929"/>
      <c r="AY80" s="929"/>
      <c r="AZ80" s="929"/>
    </row>
    <row r="81" spans="1:52" s="49" customFormat="1" ht="12.75" x14ac:dyDescent="0.2">
      <c r="A81" s="945"/>
      <c r="B81" s="924"/>
      <c r="C81" s="924"/>
      <c r="D81" s="927"/>
      <c r="E81" s="926"/>
      <c r="F81" s="927"/>
      <c r="G81" s="924"/>
      <c r="H81" s="927"/>
      <c r="I81" s="928"/>
      <c r="J81" s="924"/>
      <c r="K81" s="928"/>
      <c r="L81" s="928"/>
      <c r="M81" s="928"/>
      <c r="N81" s="925"/>
      <c r="O81" s="929"/>
      <c r="P81" s="929"/>
      <c r="Q81" s="922"/>
      <c r="R81" s="922"/>
      <c r="S81" s="929"/>
      <c r="T81" s="929"/>
      <c r="U81" s="929"/>
      <c r="V81" s="929"/>
      <c r="W81" s="929"/>
      <c r="X81" s="929"/>
      <c r="Y81" s="929"/>
      <c r="Z81" s="929"/>
      <c r="AA81" s="929"/>
      <c r="AB81" s="929"/>
      <c r="AC81" s="929"/>
      <c r="AD81" s="929"/>
      <c r="AE81" s="929"/>
      <c r="AF81" s="929"/>
      <c r="AG81" s="929"/>
      <c r="AH81" s="929"/>
      <c r="AI81" s="929"/>
      <c r="AJ81" s="929"/>
      <c r="AK81" s="929"/>
      <c r="AL81" s="929"/>
      <c r="AM81" s="929"/>
      <c r="AN81" s="929"/>
      <c r="AO81" s="929"/>
      <c r="AP81" s="929"/>
      <c r="AQ81" s="929"/>
      <c r="AR81" s="929"/>
      <c r="AS81" s="929"/>
      <c r="AT81" s="929"/>
      <c r="AU81" s="929"/>
      <c r="AV81" s="929"/>
      <c r="AW81" s="929"/>
      <c r="AX81" s="929"/>
      <c r="AY81" s="929"/>
      <c r="AZ81" s="929"/>
    </row>
    <row r="82" spans="1:52" s="49" customFormat="1" ht="12.75" x14ac:dyDescent="0.2">
      <c r="A82" s="945"/>
      <c r="B82" s="924"/>
      <c r="C82" s="924"/>
      <c r="D82" s="927"/>
      <c r="E82" s="926"/>
      <c r="F82" s="927"/>
      <c r="G82" s="924"/>
      <c r="H82" s="927"/>
      <c r="I82" s="928"/>
      <c r="J82" s="924"/>
      <c r="K82" s="928"/>
      <c r="L82" s="928"/>
      <c r="M82" s="928"/>
      <c r="N82" s="925"/>
      <c r="O82" s="929"/>
      <c r="P82" s="929"/>
      <c r="Q82" s="922"/>
      <c r="R82" s="922"/>
      <c r="S82" s="929"/>
      <c r="T82" s="929"/>
      <c r="U82" s="929"/>
      <c r="V82" s="929"/>
      <c r="W82" s="929"/>
      <c r="X82" s="929"/>
      <c r="Y82" s="929"/>
      <c r="Z82" s="929"/>
      <c r="AA82" s="929"/>
      <c r="AB82" s="929"/>
      <c r="AC82" s="929"/>
      <c r="AD82" s="929"/>
      <c r="AE82" s="929"/>
      <c r="AF82" s="929"/>
      <c r="AG82" s="929"/>
      <c r="AH82" s="929"/>
      <c r="AI82" s="929"/>
      <c r="AJ82" s="929"/>
      <c r="AK82" s="929"/>
      <c r="AL82" s="929"/>
      <c r="AM82" s="929"/>
      <c r="AN82" s="929"/>
      <c r="AO82" s="929"/>
      <c r="AP82" s="929"/>
      <c r="AQ82" s="929"/>
      <c r="AR82" s="929"/>
      <c r="AS82" s="929"/>
      <c r="AT82" s="929"/>
      <c r="AU82" s="929"/>
      <c r="AV82" s="929"/>
      <c r="AW82" s="929"/>
      <c r="AX82" s="929"/>
      <c r="AY82" s="929"/>
      <c r="AZ82" s="929"/>
    </row>
    <row r="83" spans="1:52" s="49" customFormat="1" ht="12.75" x14ac:dyDescent="0.2">
      <c r="A83" s="945"/>
      <c r="B83" s="924"/>
      <c r="C83" s="924"/>
      <c r="D83" s="927"/>
      <c r="E83" s="926"/>
      <c r="F83" s="927"/>
      <c r="G83" s="924"/>
      <c r="H83" s="927"/>
      <c r="I83" s="928"/>
      <c r="J83" s="924"/>
      <c r="K83" s="928"/>
      <c r="L83" s="928"/>
      <c r="M83" s="928"/>
      <c r="N83" s="925"/>
      <c r="O83" s="929"/>
      <c r="P83" s="929"/>
      <c r="Q83" s="922"/>
      <c r="R83" s="922"/>
      <c r="S83" s="929"/>
      <c r="T83" s="929"/>
      <c r="U83" s="929"/>
      <c r="V83" s="929"/>
      <c r="W83" s="929"/>
      <c r="X83" s="929"/>
      <c r="Y83" s="929"/>
      <c r="Z83" s="929"/>
      <c r="AA83" s="929"/>
      <c r="AB83" s="929"/>
      <c r="AC83" s="929"/>
      <c r="AD83" s="929"/>
      <c r="AE83" s="929"/>
      <c r="AF83" s="929"/>
      <c r="AG83" s="929"/>
      <c r="AH83" s="929"/>
      <c r="AI83" s="929"/>
      <c r="AJ83" s="929"/>
      <c r="AK83" s="929"/>
      <c r="AL83" s="929"/>
      <c r="AM83" s="929"/>
      <c r="AN83" s="929"/>
      <c r="AO83" s="929"/>
      <c r="AP83" s="929"/>
      <c r="AQ83" s="929"/>
      <c r="AR83" s="929"/>
      <c r="AS83" s="929"/>
      <c r="AT83" s="929"/>
      <c r="AU83" s="929"/>
      <c r="AV83" s="929"/>
      <c r="AW83" s="929"/>
      <c r="AX83" s="929"/>
      <c r="AY83" s="929"/>
      <c r="AZ83" s="929"/>
    </row>
    <row r="84" spans="1:52" s="49" customFormat="1" ht="12.75" x14ac:dyDescent="0.2">
      <c r="A84" s="945"/>
      <c r="B84" s="924"/>
      <c r="C84" s="924"/>
      <c r="D84" s="927"/>
      <c r="E84" s="926"/>
      <c r="F84" s="927"/>
      <c r="G84" s="924"/>
      <c r="H84" s="927"/>
      <c r="I84" s="928"/>
      <c r="J84" s="924"/>
      <c r="K84" s="928"/>
      <c r="L84" s="928"/>
      <c r="M84" s="928"/>
      <c r="N84" s="925"/>
      <c r="O84" s="929"/>
      <c r="P84" s="929"/>
      <c r="Q84" s="922"/>
      <c r="R84" s="922"/>
      <c r="S84" s="929"/>
      <c r="T84" s="929"/>
      <c r="U84" s="929"/>
      <c r="V84" s="929"/>
      <c r="W84" s="929"/>
      <c r="X84" s="929"/>
      <c r="Y84" s="929"/>
      <c r="Z84" s="929"/>
      <c r="AA84" s="929"/>
      <c r="AB84" s="929"/>
      <c r="AC84" s="929"/>
      <c r="AD84" s="929"/>
      <c r="AE84" s="929"/>
      <c r="AF84" s="929"/>
      <c r="AG84" s="929"/>
      <c r="AH84" s="929"/>
      <c r="AI84" s="929"/>
      <c r="AJ84" s="929"/>
      <c r="AK84" s="929"/>
      <c r="AL84" s="929"/>
      <c r="AM84" s="929"/>
      <c r="AN84" s="929"/>
      <c r="AO84" s="929"/>
      <c r="AP84" s="929"/>
      <c r="AQ84" s="929"/>
      <c r="AR84" s="929"/>
      <c r="AS84" s="929"/>
      <c r="AT84" s="929"/>
      <c r="AU84" s="929"/>
      <c r="AV84" s="929"/>
      <c r="AW84" s="929"/>
      <c r="AX84" s="929"/>
      <c r="AY84" s="929"/>
      <c r="AZ84" s="929"/>
    </row>
    <row r="85" spans="1:52" s="49" customFormat="1" ht="12.75" x14ac:dyDescent="0.2">
      <c r="A85" s="945"/>
      <c r="B85" s="924"/>
      <c r="C85" s="924"/>
      <c r="D85" s="927"/>
      <c r="E85" s="926"/>
      <c r="F85" s="927"/>
      <c r="G85" s="924"/>
      <c r="H85" s="927"/>
      <c r="I85" s="928"/>
      <c r="J85" s="924"/>
      <c r="K85" s="928"/>
      <c r="L85" s="928"/>
      <c r="M85" s="928"/>
      <c r="N85" s="925"/>
      <c r="O85" s="929"/>
      <c r="P85" s="929"/>
      <c r="Q85" s="922"/>
      <c r="R85" s="922"/>
      <c r="S85" s="929"/>
      <c r="T85" s="929"/>
      <c r="U85" s="929"/>
      <c r="V85" s="929"/>
      <c r="W85" s="929"/>
      <c r="X85" s="929"/>
      <c r="Y85" s="929"/>
      <c r="Z85" s="929"/>
      <c r="AA85" s="929"/>
      <c r="AB85" s="929"/>
      <c r="AC85" s="929"/>
      <c r="AD85" s="929"/>
      <c r="AE85" s="929"/>
      <c r="AF85" s="929"/>
      <c r="AG85" s="929"/>
      <c r="AH85" s="929"/>
      <c r="AI85" s="929"/>
      <c r="AJ85" s="929"/>
      <c r="AK85" s="929"/>
      <c r="AL85" s="929"/>
      <c r="AM85" s="929"/>
      <c r="AN85" s="929"/>
      <c r="AO85" s="929"/>
      <c r="AP85" s="929"/>
      <c r="AQ85" s="929"/>
      <c r="AR85" s="929"/>
      <c r="AS85" s="929"/>
      <c r="AT85" s="929"/>
      <c r="AU85" s="929"/>
      <c r="AV85" s="929"/>
      <c r="AW85" s="929"/>
      <c r="AX85" s="929"/>
      <c r="AY85" s="929"/>
      <c r="AZ85" s="929"/>
    </row>
    <row r="86" spans="1:52" s="49" customFormat="1" ht="12.75" x14ac:dyDescent="0.2">
      <c r="A86" s="945"/>
      <c r="B86" s="924"/>
      <c r="C86" s="924"/>
      <c r="D86" s="927"/>
      <c r="E86" s="926"/>
      <c r="F86" s="927"/>
      <c r="G86" s="924"/>
      <c r="H86" s="927"/>
      <c r="I86" s="928"/>
      <c r="J86" s="924"/>
      <c r="K86" s="928"/>
      <c r="L86" s="928"/>
      <c r="M86" s="928"/>
      <c r="N86" s="925"/>
      <c r="O86" s="929"/>
      <c r="P86" s="929"/>
      <c r="Q86" s="922"/>
      <c r="R86" s="922"/>
      <c r="S86" s="929"/>
      <c r="T86" s="929"/>
      <c r="U86" s="929"/>
      <c r="V86" s="929"/>
      <c r="W86" s="929"/>
      <c r="X86" s="929"/>
      <c r="Y86" s="929"/>
      <c r="Z86" s="929"/>
      <c r="AA86" s="929"/>
      <c r="AB86" s="929"/>
      <c r="AC86" s="929"/>
      <c r="AD86" s="929"/>
      <c r="AE86" s="929"/>
      <c r="AF86" s="929"/>
      <c r="AG86" s="929"/>
      <c r="AH86" s="929"/>
      <c r="AI86" s="929"/>
      <c r="AJ86" s="929"/>
      <c r="AK86" s="929"/>
      <c r="AL86" s="929"/>
      <c r="AM86" s="929"/>
      <c r="AN86" s="929"/>
      <c r="AO86" s="929"/>
      <c r="AP86" s="929"/>
      <c r="AQ86" s="929"/>
      <c r="AR86" s="929"/>
      <c r="AS86" s="929"/>
      <c r="AT86" s="929"/>
      <c r="AU86" s="929"/>
      <c r="AV86" s="929"/>
      <c r="AW86" s="929"/>
      <c r="AX86" s="929"/>
      <c r="AY86" s="929"/>
      <c r="AZ86" s="929"/>
    </row>
    <row r="87" spans="1:52" s="49" customFormat="1" ht="12.75" x14ac:dyDescent="0.2">
      <c r="A87" s="945"/>
      <c r="B87" s="924"/>
      <c r="C87" s="924"/>
      <c r="D87" s="927"/>
      <c r="E87" s="926"/>
      <c r="F87" s="927"/>
      <c r="G87" s="924"/>
      <c r="H87" s="927"/>
      <c r="I87" s="928"/>
      <c r="J87" s="924"/>
      <c r="K87" s="928"/>
      <c r="L87" s="928"/>
      <c r="M87" s="928"/>
      <c r="N87" s="925"/>
      <c r="O87" s="929"/>
      <c r="P87" s="929"/>
      <c r="Q87" s="922"/>
      <c r="R87" s="922"/>
      <c r="S87" s="929"/>
      <c r="T87" s="929"/>
      <c r="U87" s="929"/>
      <c r="V87" s="929"/>
      <c r="W87" s="929"/>
      <c r="X87" s="929"/>
      <c r="Y87" s="929"/>
      <c r="Z87" s="929"/>
      <c r="AA87" s="929"/>
      <c r="AB87" s="929"/>
      <c r="AC87" s="929"/>
      <c r="AD87" s="929"/>
      <c r="AE87" s="929"/>
      <c r="AF87" s="929"/>
      <c r="AG87" s="929"/>
      <c r="AH87" s="929"/>
      <c r="AI87" s="929"/>
      <c r="AJ87" s="929"/>
      <c r="AK87" s="929"/>
      <c r="AL87" s="929"/>
      <c r="AM87" s="929"/>
      <c r="AN87" s="929"/>
      <c r="AO87" s="929"/>
      <c r="AP87" s="929"/>
      <c r="AQ87" s="929"/>
      <c r="AR87" s="929"/>
      <c r="AS87" s="929"/>
      <c r="AT87" s="929"/>
      <c r="AU87" s="929"/>
      <c r="AV87" s="929"/>
      <c r="AW87" s="929"/>
      <c r="AX87" s="929"/>
      <c r="AY87" s="929"/>
      <c r="AZ87" s="929"/>
    </row>
    <row r="88" spans="1:52" s="49" customFormat="1" ht="12.75" x14ac:dyDescent="0.2">
      <c r="A88" s="945"/>
      <c r="B88" s="924"/>
      <c r="C88" s="924"/>
      <c r="D88" s="927"/>
      <c r="E88" s="926"/>
      <c r="F88" s="927"/>
      <c r="G88" s="924"/>
      <c r="H88" s="927"/>
      <c r="I88" s="928"/>
      <c r="J88" s="924"/>
      <c r="K88" s="928"/>
      <c r="L88" s="928"/>
      <c r="M88" s="928"/>
      <c r="N88" s="925"/>
      <c r="O88" s="929"/>
      <c r="P88" s="929"/>
      <c r="Q88" s="922"/>
      <c r="R88" s="922"/>
      <c r="S88" s="929"/>
      <c r="T88" s="929"/>
      <c r="U88" s="929"/>
      <c r="V88" s="929"/>
      <c r="W88" s="929"/>
      <c r="X88" s="929"/>
      <c r="Y88" s="929"/>
      <c r="Z88" s="929"/>
      <c r="AA88" s="929"/>
      <c r="AB88" s="929"/>
      <c r="AC88" s="929"/>
      <c r="AD88" s="929"/>
      <c r="AE88" s="929"/>
      <c r="AF88" s="929"/>
      <c r="AG88" s="929"/>
      <c r="AH88" s="929"/>
      <c r="AI88" s="929"/>
      <c r="AJ88" s="929"/>
      <c r="AK88" s="929"/>
      <c r="AL88" s="929"/>
      <c r="AM88" s="929"/>
      <c r="AN88" s="929"/>
      <c r="AO88" s="929"/>
      <c r="AP88" s="929"/>
      <c r="AQ88" s="929"/>
      <c r="AR88" s="929"/>
      <c r="AS88" s="929"/>
      <c r="AT88" s="929"/>
      <c r="AU88" s="929"/>
      <c r="AV88" s="929"/>
      <c r="AW88" s="929"/>
      <c r="AX88" s="929"/>
      <c r="AY88" s="929"/>
      <c r="AZ88" s="929"/>
    </row>
    <row r="89" spans="1:52" s="49" customFormat="1" ht="12.75" x14ac:dyDescent="0.2">
      <c r="A89" s="945"/>
      <c r="B89" s="924"/>
      <c r="C89" s="924"/>
      <c r="D89" s="927"/>
      <c r="E89" s="926"/>
      <c r="F89" s="927"/>
      <c r="G89" s="924"/>
      <c r="H89" s="927"/>
      <c r="I89" s="928"/>
      <c r="J89" s="924"/>
      <c r="K89" s="928"/>
      <c r="L89" s="928"/>
      <c r="M89" s="928"/>
      <c r="N89" s="925"/>
      <c r="O89" s="929"/>
      <c r="P89" s="929"/>
      <c r="Q89" s="922"/>
      <c r="R89" s="922"/>
      <c r="S89" s="929"/>
      <c r="T89" s="929"/>
      <c r="U89" s="929"/>
      <c r="V89" s="929"/>
      <c r="W89" s="929"/>
      <c r="X89" s="929"/>
      <c r="Y89" s="929"/>
      <c r="Z89" s="929"/>
      <c r="AA89" s="929"/>
      <c r="AB89" s="929"/>
      <c r="AC89" s="929"/>
      <c r="AD89" s="929"/>
      <c r="AE89" s="929"/>
      <c r="AF89" s="929"/>
      <c r="AG89" s="929"/>
      <c r="AH89" s="929"/>
      <c r="AI89" s="929"/>
      <c r="AJ89" s="929"/>
      <c r="AK89" s="929"/>
      <c r="AL89" s="929"/>
      <c r="AM89" s="929"/>
      <c r="AN89" s="929"/>
      <c r="AO89" s="929"/>
      <c r="AP89" s="929"/>
      <c r="AQ89" s="929"/>
      <c r="AR89" s="929"/>
      <c r="AS89" s="929"/>
      <c r="AT89" s="929"/>
      <c r="AU89" s="929"/>
      <c r="AV89" s="929"/>
      <c r="AW89" s="929"/>
      <c r="AX89" s="929"/>
      <c r="AY89" s="929"/>
      <c r="AZ89" s="929"/>
    </row>
    <row r="90" spans="1:52" s="49" customFormat="1" ht="12.75" x14ac:dyDescent="0.2">
      <c r="A90" s="945"/>
      <c r="B90" s="924"/>
      <c r="C90" s="924"/>
      <c r="D90" s="927"/>
      <c r="E90" s="926"/>
      <c r="F90" s="927"/>
      <c r="G90" s="924"/>
      <c r="H90" s="927"/>
      <c r="I90" s="928"/>
      <c r="J90" s="924"/>
      <c r="K90" s="928"/>
      <c r="L90" s="928"/>
      <c r="M90" s="928"/>
      <c r="N90" s="925"/>
      <c r="O90" s="929"/>
      <c r="P90" s="929"/>
      <c r="Q90" s="922"/>
      <c r="R90" s="922"/>
      <c r="S90" s="929"/>
      <c r="T90" s="929"/>
      <c r="U90" s="929"/>
      <c r="V90" s="929"/>
      <c r="W90" s="929"/>
      <c r="X90" s="929"/>
      <c r="Y90" s="929"/>
      <c r="Z90" s="929"/>
      <c r="AA90" s="929"/>
      <c r="AB90" s="929"/>
      <c r="AC90" s="929"/>
      <c r="AD90" s="929"/>
      <c r="AE90" s="929"/>
      <c r="AF90" s="929"/>
      <c r="AG90" s="929"/>
      <c r="AH90" s="929"/>
      <c r="AI90" s="929"/>
      <c r="AJ90" s="929"/>
      <c r="AK90" s="929"/>
      <c r="AL90" s="929"/>
      <c r="AM90" s="929"/>
      <c r="AN90" s="929"/>
      <c r="AO90" s="929"/>
      <c r="AP90" s="929"/>
      <c r="AQ90" s="929"/>
      <c r="AR90" s="929"/>
      <c r="AS90" s="929"/>
      <c r="AT90" s="929"/>
      <c r="AU90" s="929"/>
      <c r="AV90" s="929"/>
      <c r="AW90" s="929"/>
      <c r="AX90" s="929"/>
      <c r="AY90" s="929"/>
      <c r="AZ90" s="929"/>
    </row>
    <row r="91" spans="1:52" s="49" customFormat="1" ht="12.75" x14ac:dyDescent="0.2">
      <c r="A91" s="945"/>
      <c r="B91" s="924"/>
      <c r="C91" s="924"/>
      <c r="D91" s="927"/>
      <c r="E91" s="926"/>
      <c r="F91" s="927"/>
      <c r="G91" s="924"/>
      <c r="H91" s="927"/>
      <c r="I91" s="928"/>
      <c r="J91" s="924"/>
      <c r="K91" s="928"/>
      <c r="L91" s="928"/>
      <c r="M91" s="928"/>
      <c r="N91" s="925"/>
      <c r="O91" s="929"/>
      <c r="P91" s="929"/>
      <c r="Q91" s="922"/>
      <c r="R91" s="922"/>
      <c r="S91" s="929"/>
      <c r="T91" s="929"/>
      <c r="U91" s="929"/>
      <c r="V91" s="929"/>
      <c r="W91" s="929"/>
      <c r="X91" s="929"/>
      <c r="Y91" s="929"/>
      <c r="Z91" s="929"/>
      <c r="AA91" s="929"/>
      <c r="AB91" s="929"/>
      <c r="AC91" s="929"/>
      <c r="AD91" s="929"/>
      <c r="AE91" s="929"/>
      <c r="AF91" s="929"/>
      <c r="AG91" s="929"/>
      <c r="AH91" s="929"/>
      <c r="AI91" s="929"/>
      <c r="AJ91" s="929"/>
      <c r="AK91" s="929"/>
      <c r="AL91" s="929"/>
      <c r="AM91" s="929"/>
      <c r="AN91" s="929"/>
      <c r="AO91" s="929"/>
      <c r="AP91" s="929"/>
      <c r="AQ91" s="929"/>
      <c r="AR91" s="929"/>
      <c r="AS91" s="929"/>
      <c r="AT91" s="929"/>
      <c r="AU91" s="929"/>
      <c r="AV91" s="929"/>
      <c r="AW91" s="929"/>
      <c r="AX91" s="929"/>
      <c r="AY91" s="929"/>
      <c r="AZ91" s="929"/>
    </row>
    <row r="92" spans="1:52" s="49" customFormat="1" ht="12.75" x14ac:dyDescent="0.2">
      <c r="A92" s="945"/>
      <c r="B92" s="924"/>
      <c r="C92" s="924"/>
      <c r="D92" s="927"/>
      <c r="E92" s="926"/>
      <c r="F92" s="927"/>
      <c r="G92" s="924"/>
      <c r="H92" s="927"/>
      <c r="I92" s="928"/>
      <c r="J92" s="924"/>
      <c r="K92" s="928"/>
      <c r="L92" s="928"/>
      <c r="M92" s="928"/>
      <c r="N92" s="925"/>
      <c r="O92" s="929"/>
      <c r="P92" s="929"/>
      <c r="Q92" s="922"/>
      <c r="R92" s="922"/>
      <c r="S92" s="929"/>
      <c r="T92" s="929"/>
      <c r="U92" s="929"/>
      <c r="V92" s="929"/>
      <c r="W92" s="929"/>
      <c r="X92" s="929"/>
      <c r="Y92" s="929"/>
      <c r="Z92" s="929"/>
      <c r="AA92" s="929"/>
      <c r="AB92" s="929"/>
      <c r="AC92" s="929"/>
      <c r="AD92" s="929"/>
      <c r="AE92" s="929"/>
      <c r="AF92" s="929"/>
      <c r="AG92" s="929"/>
      <c r="AH92" s="929"/>
      <c r="AI92" s="929"/>
      <c r="AJ92" s="929"/>
      <c r="AK92" s="929"/>
      <c r="AL92" s="929"/>
      <c r="AM92" s="929"/>
      <c r="AN92" s="929"/>
      <c r="AO92" s="929"/>
      <c r="AP92" s="929"/>
      <c r="AQ92" s="929"/>
      <c r="AR92" s="929"/>
      <c r="AS92" s="929"/>
      <c r="AT92" s="929"/>
      <c r="AU92" s="929"/>
      <c r="AV92" s="929"/>
      <c r="AW92" s="929"/>
      <c r="AX92" s="929"/>
      <c r="AY92" s="929"/>
      <c r="AZ92" s="929"/>
    </row>
    <row r="93" spans="1:52" s="49" customFormat="1" ht="12.75" x14ac:dyDescent="0.2">
      <c r="A93" s="945"/>
      <c r="B93" s="924"/>
      <c r="C93" s="924"/>
      <c r="D93" s="927"/>
      <c r="E93" s="926"/>
      <c r="F93" s="927"/>
      <c r="G93" s="924"/>
      <c r="H93" s="927"/>
      <c r="I93" s="928"/>
      <c r="J93" s="924"/>
      <c r="K93" s="928"/>
      <c r="L93" s="928"/>
      <c r="M93" s="928"/>
      <c r="N93" s="925"/>
      <c r="O93" s="929"/>
      <c r="P93" s="929"/>
      <c r="Q93" s="922"/>
      <c r="R93" s="922"/>
      <c r="S93" s="929"/>
      <c r="T93" s="929"/>
      <c r="U93" s="929"/>
      <c r="V93" s="929"/>
      <c r="W93" s="929"/>
      <c r="X93" s="929"/>
      <c r="Y93" s="929"/>
      <c r="Z93" s="929"/>
      <c r="AA93" s="929"/>
      <c r="AB93" s="929"/>
      <c r="AC93" s="929"/>
      <c r="AD93" s="929"/>
      <c r="AE93" s="929"/>
      <c r="AF93" s="929"/>
      <c r="AG93" s="929"/>
      <c r="AH93" s="929"/>
      <c r="AI93" s="929"/>
      <c r="AJ93" s="929"/>
      <c r="AK93" s="929"/>
      <c r="AL93" s="929"/>
      <c r="AM93" s="929"/>
      <c r="AN93" s="929"/>
      <c r="AO93" s="929"/>
      <c r="AP93" s="929"/>
      <c r="AQ93" s="929"/>
      <c r="AR93" s="929"/>
      <c r="AS93" s="929"/>
      <c r="AT93" s="929"/>
      <c r="AU93" s="929"/>
      <c r="AV93" s="929"/>
      <c r="AW93" s="929"/>
      <c r="AX93" s="929"/>
      <c r="AY93" s="929"/>
      <c r="AZ93" s="929"/>
    </row>
    <row r="94" spans="1:52" s="49" customFormat="1" ht="12.75" x14ac:dyDescent="0.2">
      <c r="A94" s="945"/>
      <c r="B94" s="924"/>
      <c r="C94" s="924"/>
      <c r="D94" s="927"/>
      <c r="E94" s="926"/>
      <c r="F94" s="927"/>
      <c r="G94" s="924"/>
      <c r="H94" s="927"/>
      <c r="I94" s="928"/>
      <c r="J94" s="924"/>
      <c r="K94" s="928"/>
      <c r="L94" s="928"/>
      <c r="M94" s="928"/>
      <c r="N94" s="925"/>
      <c r="O94" s="929"/>
      <c r="P94" s="929"/>
      <c r="Q94" s="922"/>
      <c r="R94" s="922"/>
      <c r="S94" s="929"/>
      <c r="T94" s="929"/>
      <c r="U94" s="929"/>
      <c r="V94" s="929"/>
      <c r="W94" s="929"/>
      <c r="X94" s="929"/>
      <c r="Y94" s="929"/>
      <c r="Z94" s="929"/>
      <c r="AA94" s="929"/>
      <c r="AB94" s="929"/>
      <c r="AC94" s="929"/>
      <c r="AD94" s="929"/>
      <c r="AE94" s="929"/>
      <c r="AF94" s="929"/>
      <c r="AG94" s="929"/>
      <c r="AH94" s="929"/>
      <c r="AI94" s="929"/>
      <c r="AJ94" s="929"/>
      <c r="AK94" s="929"/>
      <c r="AL94" s="929"/>
      <c r="AM94" s="929"/>
      <c r="AN94" s="929"/>
      <c r="AO94" s="929"/>
      <c r="AP94" s="929"/>
      <c r="AQ94" s="929"/>
      <c r="AR94" s="929"/>
      <c r="AS94" s="929"/>
      <c r="AT94" s="929"/>
      <c r="AU94" s="929"/>
      <c r="AV94" s="929"/>
      <c r="AW94" s="929"/>
      <c r="AX94" s="929"/>
      <c r="AY94" s="929"/>
      <c r="AZ94" s="929"/>
    </row>
    <row r="95" spans="1:52" s="49" customFormat="1" ht="12.75" x14ac:dyDescent="0.2">
      <c r="A95" s="945"/>
      <c r="B95" s="924"/>
      <c r="C95" s="924"/>
      <c r="D95" s="927"/>
      <c r="E95" s="926"/>
      <c r="F95" s="927"/>
      <c r="G95" s="924"/>
      <c r="H95" s="927"/>
      <c r="I95" s="928"/>
      <c r="J95" s="924"/>
      <c r="K95" s="928"/>
      <c r="L95" s="928"/>
      <c r="M95" s="928"/>
      <c r="N95" s="925"/>
      <c r="O95" s="929"/>
      <c r="P95" s="929"/>
      <c r="Q95" s="922"/>
      <c r="R95" s="922"/>
      <c r="S95" s="929"/>
      <c r="T95" s="929"/>
      <c r="U95" s="929"/>
      <c r="V95" s="929"/>
      <c r="W95" s="929"/>
      <c r="X95" s="929"/>
      <c r="Y95" s="929"/>
      <c r="Z95" s="929"/>
      <c r="AA95" s="929"/>
      <c r="AB95" s="929"/>
      <c r="AC95" s="929"/>
      <c r="AD95" s="929"/>
      <c r="AE95" s="929"/>
      <c r="AF95" s="929"/>
      <c r="AG95" s="929"/>
      <c r="AH95" s="929"/>
      <c r="AI95" s="929"/>
      <c r="AJ95" s="929"/>
      <c r="AK95" s="929"/>
      <c r="AL95" s="929"/>
      <c r="AM95" s="929"/>
      <c r="AN95" s="929"/>
      <c r="AO95" s="929"/>
      <c r="AP95" s="929"/>
      <c r="AQ95" s="929"/>
      <c r="AR95" s="929"/>
      <c r="AS95" s="929"/>
      <c r="AT95" s="929"/>
      <c r="AU95" s="929"/>
      <c r="AV95" s="929"/>
      <c r="AW95" s="929"/>
      <c r="AX95" s="929"/>
      <c r="AY95" s="929"/>
      <c r="AZ95" s="929"/>
    </row>
    <row r="96" spans="1:52" s="49" customFormat="1" ht="12.75" x14ac:dyDescent="0.2">
      <c r="A96" s="945"/>
      <c r="B96" s="924"/>
      <c r="C96" s="924"/>
      <c r="D96" s="927"/>
      <c r="E96" s="926"/>
      <c r="F96" s="927"/>
      <c r="G96" s="924"/>
      <c r="H96" s="927"/>
      <c r="I96" s="928"/>
      <c r="J96" s="924"/>
      <c r="K96" s="928"/>
      <c r="L96" s="928"/>
      <c r="M96" s="928"/>
      <c r="N96" s="925"/>
      <c r="O96" s="929"/>
      <c r="P96" s="929"/>
      <c r="Q96" s="922"/>
      <c r="R96" s="922"/>
      <c r="S96" s="929"/>
      <c r="T96" s="929"/>
      <c r="U96" s="929"/>
      <c r="V96" s="929"/>
      <c r="W96" s="929"/>
      <c r="X96" s="929"/>
      <c r="Y96" s="929"/>
      <c r="Z96" s="929"/>
      <c r="AA96" s="929"/>
      <c r="AB96" s="929"/>
      <c r="AC96" s="929"/>
      <c r="AD96" s="929"/>
      <c r="AE96" s="929"/>
      <c r="AF96" s="929"/>
      <c r="AG96" s="929"/>
      <c r="AH96" s="929"/>
      <c r="AI96" s="929"/>
      <c r="AJ96" s="929"/>
      <c r="AK96" s="929"/>
      <c r="AL96" s="929"/>
      <c r="AM96" s="929"/>
      <c r="AN96" s="929"/>
      <c r="AO96" s="929"/>
      <c r="AP96" s="929"/>
      <c r="AQ96" s="929"/>
      <c r="AR96" s="929"/>
      <c r="AS96" s="929"/>
      <c r="AT96" s="929"/>
      <c r="AU96" s="929"/>
      <c r="AV96" s="929"/>
      <c r="AW96" s="929"/>
      <c r="AX96" s="929"/>
      <c r="AY96" s="929"/>
      <c r="AZ96" s="929"/>
    </row>
    <row r="97" spans="1:52" s="49" customFormat="1" ht="12.75" x14ac:dyDescent="0.2">
      <c r="A97" s="945"/>
      <c r="B97" s="924"/>
      <c r="C97" s="924"/>
      <c r="D97" s="927"/>
      <c r="E97" s="926"/>
      <c r="F97" s="927"/>
      <c r="G97" s="924"/>
      <c r="H97" s="927"/>
      <c r="I97" s="928"/>
      <c r="J97" s="924"/>
      <c r="K97" s="928"/>
      <c r="L97" s="928"/>
      <c r="M97" s="928"/>
      <c r="N97" s="925"/>
      <c r="O97" s="929"/>
      <c r="P97" s="929"/>
      <c r="Q97" s="922"/>
      <c r="R97" s="922"/>
      <c r="S97" s="929"/>
      <c r="T97" s="929"/>
      <c r="U97" s="929"/>
      <c r="V97" s="929"/>
      <c r="W97" s="929"/>
      <c r="X97" s="929"/>
      <c r="Y97" s="929"/>
      <c r="Z97" s="929"/>
      <c r="AA97" s="929"/>
      <c r="AB97" s="929"/>
      <c r="AC97" s="929"/>
      <c r="AD97" s="929"/>
      <c r="AE97" s="929"/>
      <c r="AF97" s="929"/>
      <c r="AG97" s="929"/>
      <c r="AH97" s="929"/>
      <c r="AI97" s="929"/>
      <c r="AJ97" s="929"/>
      <c r="AK97" s="929"/>
      <c r="AL97" s="929"/>
      <c r="AM97" s="929"/>
      <c r="AN97" s="929"/>
      <c r="AO97" s="929"/>
      <c r="AP97" s="929"/>
      <c r="AQ97" s="929"/>
      <c r="AR97" s="929"/>
      <c r="AS97" s="929"/>
      <c r="AT97" s="929"/>
      <c r="AU97" s="929"/>
      <c r="AV97" s="929"/>
      <c r="AW97" s="929"/>
      <c r="AX97" s="929"/>
      <c r="AY97" s="929"/>
      <c r="AZ97" s="929"/>
    </row>
    <row r="98" spans="1:52" s="49" customFormat="1" ht="12.75" x14ac:dyDescent="0.2">
      <c r="A98" s="945"/>
      <c r="B98" s="924"/>
      <c r="C98" s="924"/>
      <c r="D98" s="927"/>
      <c r="E98" s="926"/>
      <c r="F98" s="927"/>
      <c r="G98" s="924"/>
      <c r="H98" s="927"/>
      <c r="I98" s="928"/>
      <c r="J98" s="924"/>
      <c r="K98" s="928"/>
      <c r="L98" s="928"/>
      <c r="M98" s="928"/>
      <c r="N98" s="925"/>
      <c r="O98" s="929"/>
      <c r="P98" s="929"/>
      <c r="Q98" s="922"/>
      <c r="R98" s="922"/>
      <c r="S98" s="929"/>
      <c r="T98" s="929"/>
      <c r="U98" s="929"/>
      <c r="V98" s="929"/>
      <c r="W98" s="929"/>
      <c r="X98" s="929"/>
      <c r="Y98" s="929"/>
      <c r="Z98" s="929"/>
      <c r="AA98" s="929"/>
      <c r="AB98" s="929"/>
      <c r="AC98" s="929"/>
      <c r="AD98" s="929"/>
      <c r="AE98" s="929"/>
      <c r="AF98" s="929"/>
      <c r="AG98" s="929"/>
      <c r="AH98" s="929"/>
      <c r="AI98" s="929"/>
      <c r="AJ98" s="929"/>
      <c r="AK98" s="929"/>
      <c r="AL98" s="929"/>
      <c r="AM98" s="929"/>
      <c r="AN98" s="929"/>
      <c r="AO98" s="929"/>
      <c r="AP98" s="929"/>
      <c r="AQ98" s="929"/>
      <c r="AR98" s="929"/>
      <c r="AS98" s="929"/>
      <c r="AT98" s="929"/>
      <c r="AU98" s="929"/>
      <c r="AV98" s="929"/>
      <c r="AW98" s="929"/>
      <c r="AX98" s="929"/>
      <c r="AY98" s="929"/>
      <c r="AZ98" s="929"/>
    </row>
    <row r="99" spans="1:52" s="49" customFormat="1" ht="12.75" x14ac:dyDescent="0.2">
      <c r="A99" s="945"/>
      <c r="B99" s="924"/>
      <c r="C99" s="924"/>
      <c r="D99" s="927"/>
      <c r="E99" s="926"/>
      <c r="F99" s="927"/>
      <c r="G99" s="924"/>
      <c r="H99" s="927"/>
      <c r="I99" s="928"/>
      <c r="J99" s="924"/>
      <c r="K99" s="928"/>
      <c r="L99" s="928"/>
      <c r="M99" s="928"/>
      <c r="N99" s="925"/>
      <c r="O99" s="929"/>
      <c r="P99" s="929"/>
      <c r="Q99" s="922"/>
      <c r="R99" s="922"/>
      <c r="S99" s="929"/>
      <c r="T99" s="929"/>
      <c r="U99" s="929"/>
      <c r="V99" s="929"/>
      <c r="W99" s="929"/>
      <c r="X99" s="929"/>
      <c r="Y99" s="929"/>
      <c r="Z99" s="929"/>
      <c r="AA99" s="929"/>
      <c r="AB99" s="929"/>
      <c r="AC99" s="929"/>
      <c r="AD99" s="929"/>
      <c r="AE99" s="929"/>
      <c r="AF99" s="929"/>
      <c r="AG99" s="929"/>
      <c r="AH99" s="929"/>
      <c r="AI99" s="929"/>
      <c r="AJ99" s="929"/>
      <c r="AK99" s="929"/>
      <c r="AL99" s="929"/>
      <c r="AM99" s="929"/>
      <c r="AN99" s="929"/>
      <c r="AO99" s="929"/>
      <c r="AP99" s="929"/>
      <c r="AQ99" s="929"/>
      <c r="AR99" s="929"/>
      <c r="AS99" s="929"/>
      <c r="AT99" s="929"/>
      <c r="AU99" s="929"/>
      <c r="AV99" s="929"/>
      <c r="AW99" s="929"/>
      <c r="AX99" s="929"/>
      <c r="AY99" s="929"/>
      <c r="AZ99" s="929"/>
    </row>
    <row r="100" spans="1:52" s="49" customFormat="1" ht="12.75" x14ac:dyDescent="0.2">
      <c r="A100" s="945"/>
      <c r="B100" s="924"/>
      <c r="C100" s="924"/>
      <c r="D100" s="927"/>
      <c r="E100" s="926"/>
      <c r="F100" s="927"/>
      <c r="G100" s="924"/>
      <c r="H100" s="927"/>
      <c r="I100" s="928"/>
      <c r="J100" s="924"/>
      <c r="K100" s="928"/>
      <c r="L100" s="928"/>
      <c r="M100" s="928"/>
      <c r="N100" s="925"/>
      <c r="O100" s="929"/>
      <c r="P100" s="929"/>
      <c r="Q100" s="922"/>
      <c r="R100" s="922"/>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row>
    <row r="101" spans="1:52" s="49" customFormat="1" ht="12.75" x14ac:dyDescent="0.2">
      <c r="A101" s="945"/>
      <c r="B101" s="924"/>
      <c r="C101" s="924"/>
      <c r="D101" s="927"/>
      <c r="E101" s="926"/>
      <c r="F101" s="927"/>
      <c r="G101" s="924"/>
      <c r="H101" s="927"/>
      <c r="I101" s="928"/>
      <c r="J101" s="924"/>
      <c r="K101" s="928"/>
      <c r="L101" s="928"/>
      <c r="M101" s="928"/>
      <c r="N101" s="925"/>
      <c r="O101" s="929"/>
      <c r="P101" s="929"/>
      <c r="Q101" s="922"/>
      <c r="R101" s="922"/>
      <c r="S101" s="929"/>
      <c r="T101" s="929"/>
      <c r="U101" s="929"/>
      <c r="V101" s="929"/>
      <c r="W101" s="929"/>
      <c r="X101" s="929"/>
      <c r="Y101" s="929"/>
      <c r="Z101" s="929"/>
      <c r="AA101" s="929"/>
      <c r="AB101" s="929"/>
      <c r="AC101" s="929"/>
      <c r="AD101" s="929"/>
      <c r="AE101" s="929"/>
      <c r="AF101" s="929"/>
      <c r="AG101" s="929"/>
      <c r="AH101" s="929"/>
      <c r="AI101" s="929"/>
      <c r="AJ101" s="929"/>
      <c r="AK101" s="929"/>
      <c r="AL101" s="929"/>
      <c r="AM101" s="929"/>
      <c r="AN101" s="929"/>
      <c r="AO101" s="929"/>
      <c r="AP101" s="929"/>
      <c r="AQ101" s="929"/>
      <c r="AR101" s="929"/>
      <c r="AS101" s="929"/>
      <c r="AT101" s="929"/>
      <c r="AU101" s="929"/>
      <c r="AV101" s="929"/>
      <c r="AW101" s="929"/>
      <c r="AX101" s="929"/>
      <c r="AY101" s="929"/>
      <c r="AZ101" s="929"/>
    </row>
    <row r="102" spans="1:52" s="49" customFormat="1" ht="12.75" x14ac:dyDescent="0.2">
      <c r="A102" s="945"/>
      <c r="B102" s="924"/>
      <c r="C102" s="924"/>
      <c r="D102" s="927"/>
      <c r="E102" s="926"/>
      <c r="F102" s="927"/>
      <c r="G102" s="924"/>
      <c r="H102" s="927"/>
      <c r="I102" s="928"/>
      <c r="J102" s="924"/>
      <c r="K102" s="928"/>
      <c r="L102" s="928"/>
      <c r="M102" s="928"/>
      <c r="N102" s="925"/>
      <c r="O102" s="929"/>
      <c r="P102" s="929"/>
      <c r="Q102" s="922"/>
      <c r="R102" s="922"/>
      <c r="S102" s="929"/>
      <c r="T102" s="929"/>
      <c r="U102" s="929"/>
      <c r="V102" s="929"/>
      <c r="W102" s="929"/>
      <c r="X102" s="929"/>
      <c r="Y102" s="929"/>
      <c r="Z102" s="929"/>
      <c r="AA102" s="929"/>
      <c r="AB102" s="929"/>
      <c r="AC102" s="929"/>
      <c r="AD102" s="929"/>
      <c r="AE102" s="929"/>
      <c r="AF102" s="929"/>
      <c r="AG102" s="929"/>
      <c r="AH102" s="929"/>
      <c r="AI102" s="929"/>
      <c r="AJ102" s="929"/>
      <c r="AK102" s="929"/>
      <c r="AL102" s="929"/>
      <c r="AM102" s="929"/>
      <c r="AN102" s="929"/>
      <c r="AO102" s="929"/>
      <c r="AP102" s="929"/>
      <c r="AQ102" s="929"/>
      <c r="AR102" s="929"/>
      <c r="AS102" s="929"/>
      <c r="AT102" s="929"/>
      <c r="AU102" s="929"/>
      <c r="AV102" s="929"/>
      <c r="AW102" s="929"/>
      <c r="AX102" s="929"/>
      <c r="AY102" s="929"/>
      <c r="AZ102" s="929"/>
    </row>
    <row r="103" spans="1:52" s="49" customFormat="1" ht="12.75" x14ac:dyDescent="0.2">
      <c r="A103" s="945"/>
      <c r="B103" s="924"/>
      <c r="C103" s="924"/>
      <c r="D103" s="927"/>
      <c r="E103" s="926"/>
      <c r="F103" s="927"/>
      <c r="G103" s="924"/>
      <c r="H103" s="927"/>
      <c r="I103" s="928"/>
      <c r="J103" s="924"/>
      <c r="K103" s="928"/>
      <c r="L103" s="928"/>
      <c r="M103" s="928"/>
      <c r="N103" s="925"/>
      <c r="O103" s="929"/>
      <c r="P103" s="929"/>
      <c r="Q103" s="922"/>
      <c r="R103" s="922"/>
      <c r="S103" s="929"/>
      <c r="T103" s="929"/>
      <c r="U103" s="929"/>
      <c r="V103" s="929"/>
      <c r="W103" s="929"/>
      <c r="X103" s="929"/>
      <c r="Y103" s="929"/>
      <c r="Z103" s="929"/>
      <c r="AA103" s="929"/>
      <c r="AB103" s="929"/>
      <c r="AC103" s="929"/>
      <c r="AD103" s="929"/>
      <c r="AE103" s="929"/>
      <c r="AF103" s="929"/>
      <c r="AG103" s="929"/>
      <c r="AH103" s="929"/>
      <c r="AI103" s="929"/>
      <c r="AJ103" s="929"/>
      <c r="AK103" s="929"/>
      <c r="AL103" s="929"/>
      <c r="AM103" s="929"/>
      <c r="AN103" s="929"/>
      <c r="AO103" s="929"/>
      <c r="AP103" s="929"/>
      <c r="AQ103" s="929"/>
      <c r="AR103" s="929"/>
      <c r="AS103" s="929"/>
      <c r="AT103" s="929"/>
      <c r="AU103" s="929"/>
      <c r="AV103" s="929"/>
      <c r="AW103" s="929"/>
      <c r="AX103" s="929"/>
      <c r="AY103" s="929"/>
      <c r="AZ103" s="929"/>
    </row>
    <row r="104" spans="1:52" s="49" customFormat="1" ht="12.75" x14ac:dyDescent="0.2">
      <c r="A104" s="945"/>
      <c r="B104" s="924"/>
      <c r="C104" s="924"/>
      <c r="D104" s="927"/>
      <c r="E104" s="926"/>
      <c r="F104" s="927"/>
      <c r="G104" s="924"/>
      <c r="H104" s="927"/>
      <c r="I104" s="928"/>
      <c r="J104" s="924"/>
      <c r="K104" s="928"/>
      <c r="L104" s="928"/>
      <c r="M104" s="928"/>
      <c r="N104" s="925"/>
      <c r="O104" s="929"/>
      <c r="P104" s="929"/>
      <c r="Q104" s="922"/>
      <c r="R104" s="922"/>
      <c r="S104" s="929"/>
      <c r="T104" s="929"/>
      <c r="U104" s="929"/>
      <c r="V104" s="929"/>
      <c r="W104" s="929"/>
      <c r="X104" s="929"/>
      <c r="Y104" s="929"/>
      <c r="Z104" s="929"/>
      <c r="AA104" s="929"/>
      <c r="AB104" s="929"/>
      <c r="AC104" s="929"/>
      <c r="AD104" s="929"/>
      <c r="AE104" s="929"/>
      <c r="AF104" s="929"/>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row>
    <row r="105" spans="1:52" s="49" customFormat="1" ht="12.75" x14ac:dyDescent="0.2">
      <c r="A105" s="945"/>
      <c r="B105" s="924"/>
      <c r="C105" s="924"/>
      <c r="D105" s="927"/>
      <c r="E105" s="926"/>
      <c r="F105" s="927"/>
      <c r="G105" s="924"/>
      <c r="H105" s="927"/>
      <c r="I105" s="928"/>
      <c r="J105" s="924"/>
      <c r="K105" s="928"/>
      <c r="L105" s="928"/>
      <c r="M105" s="928"/>
      <c r="N105" s="925"/>
      <c r="O105" s="929"/>
      <c r="P105" s="929"/>
      <c r="Q105" s="922"/>
      <c r="R105" s="922"/>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row>
    <row r="106" spans="1:52" s="49" customFormat="1" ht="12.75" x14ac:dyDescent="0.2">
      <c r="A106" s="945"/>
      <c r="B106" s="924"/>
      <c r="C106" s="924"/>
      <c r="D106" s="927"/>
      <c r="E106" s="926"/>
      <c r="F106" s="927"/>
      <c r="G106" s="924"/>
      <c r="H106" s="927"/>
      <c r="I106" s="928"/>
      <c r="J106" s="924"/>
      <c r="K106" s="928"/>
      <c r="L106" s="928"/>
      <c r="M106" s="928"/>
      <c r="N106" s="925"/>
      <c r="O106" s="929"/>
      <c r="P106" s="929"/>
      <c r="Q106" s="922"/>
      <c r="R106" s="922"/>
      <c r="S106" s="929"/>
      <c r="T106" s="929"/>
      <c r="U106" s="929"/>
      <c r="V106" s="929"/>
      <c r="W106" s="929"/>
      <c r="X106" s="929"/>
      <c r="Y106" s="929"/>
      <c r="Z106" s="929"/>
      <c r="AA106" s="929"/>
      <c r="AB106" s="929"/>
      <c r="AC106" s="929"/>
      <c r="AD106" s="929"/>
      <c r="AE106" s="929"/>
      <c r="AF106" s="929"/>
      <c r="AG106" s="929"/>
      <c r="AH106" s="929"/>
      <c r="AI106" s="929"/>
      <c r="AJ106" s="929"/>
      <c r="AK106" s="929"/>
      <c r="AL106" s="929"/>
      <c r="AM106" s="929"/>
      <c r="AN106" s="929"/>
      <c r="AO106" s="929"/>
      <c r="AP106" s="929"/>
      <c r="AQ106" s="929"/>
      <c r="AR106" s="929"/>
      <c r="AS106" s="929"/>
      <c r="AT106" s="929"/>
      <c r="AU106" s="929"/>
      <c r="AV106" s="929"/>
      <c r="AW106" s="929"/>
      <c r="AX106" s="929"/>
      <c r="AY106" s="929"/>
      <c r="AZ106" s="929"/>
    </row>
    <row r="107" spans="1:52" s="49" customFormat="1" ht="12.75" x14ac:dyDescent="0.2">
      <c r="A107" s="945"/>
      <c r="B107" s="924"/>
      <c r="C107" s="924"/>
      <c r="D107" s="927"/>
      <c r="E107" s="926"/>
      <c r="F107" s="927"/>
      <c r="G107" s="924"/>
      <c r="H107" s="927"/>
      <c r="I107" s="928"/>
      <c r="J107" s="924"/>
      <c r="K107" s="928"/>
      <c r="L107" s="928"/>
      <c r="M107" s="928"/>
      <c r="N107" s="925"/>
      <c r="O107" s="929"/>
      <c r="P107" s="929"/>
      <c r="Q107" s="922"/>
      <c r="R107" s="922"/>
      <c r="S107" s="929"/>
      <c r="T107" s="929"/>
      <c r="U107" s="929"/>
      <c r="V107" s="929"/>
      <c r="W107" s="929"/>
      <c r="X107" s="929"/>
      <c r="Y107" s="929"/>
      <c r="Z107" s="929"/>
      <c r="AA107" s="929"/>
      <c r="AB107" s="929"/>
      <c r="AC107" s="929"/>
      <c r="AD107" s="929"/>
      <c r="AE107" s="929"/>
      <c r="AF107" s="929"/>
      <c r="AG107" s="929"/>
      <c r="AH107" s="929"/>
      <c r="AI107" s="929"/>
      <c r="AJ107" s="929"/>
      <c r="AK107" s="929"/>
      <c r="AL107" s="929"/>
      <c r="AM107" s="929"/>
      <c r="AN107" s="929"/>
      <c r="AO107" s="929"/>
      <c r="AP107" s="929"/>
      <c r="AQ107" s="929"/>
      <c r="AR107" s="929"/>
      <c r="AS107" s="929"/>
      <c r="AT107" s="929"/>
      <c r="AU107" s="929"/>
      <c r="AV107" s="929"/>
      <c r="AW107" s="929"/>
      <c r="AX107" s="929"/>
      <c r="AY107" s="929"/>
      <c r="AZ107" s="929"/>
    </row>
    <row r="108" spans="1:52" s="49" customFormat="1" ht="12.75" x14ac:dyDescent="0.2">
      <c r="A108" s="945"/>
      <c r="B108" s="924"/>
      <c r="C108" s="924"/>
      <c r="D108" s="927"/>
      <c r="E108" s="926"/>
      <c r="F108" s="927"/>
      <c r="G108" s="924"/>
      <c r="H108" s="927"/>
      <c r="I108" s="928"/>
      <c r="J108" s="924"/>
      <c r="K108" s="928"/>
      <c r="L108" s="928"/>
      <c r="M108" s="928"/>
      <c r="N108" s="925"/>
      <c r="O108" s="929"/>
      <c r="P108" s="929"/>
      <c r="Q108" s="922"/>
      <c r="R108" s="922"/>
      <c r="S108" s="929"/>
      <c r="T108" s="929"/>
      <c r="U108" s="929"/>
      <c r="V108" s="929"/>
      <c r="W108" s="929"/>
      <c r="X108" s="929"/>
      <c r="Y108" s="929"/>
      <c r="Z108" s="929"/>
      <c r="AA108" s="929"/>
      <c r="AB108" s="929"/>
      <c r="AC108" s="929"/>
      <c r="AD108" s="929"/>
      <c r="AE108" s="929"/>
      <c r="AF108" s="929"/>
      <c r="AG108" s="929"/>
      <c r="AH108" s="929"/>
      <c r="AI108" s="929"/>
      <c r="AJ108" s="929"/>
      <c r="AK108" s="929"/>
      <c r="AL108" s="929"/>
      <c r="AM108" s="929"/>
      <c r="AN108" s="929"/>
      <c r="AO108" s="929"/>
      <c r="AP108" s="929"/>
      <c r="AQ108" s="929"/>
      <c r="AR108" s="929"/>
      <c r="AS108" s="929"/>
      <c r="AT108" s="929"/>
      <c r="AU108" s="929"/>
      <c r="AV108" s="929"/>
      <c r="AW108" s="929"/>
      <c r="AX108" s="929"/>
      <c r="AY108" s="929"/>
      <c r="AZ108" s="929"/>
    </row>
    <row r="109" spans="1:52" s="49" customFormat="1" ht="12.75" x14ac:dyDescent="0.2">
      <c r="A109" s="945"/>
      <c r="B109" s="924"/>
      <c r="C109" s="924"/>
      <c r="D109" s="927"/>
      <c r="E109" s="926"/>
      <c r="F109" s="927"/>
      <c r="G109" s="924"/>
      <c r="H109" s="927"/>
      <c r="I109" s="928"/>
      <c r="J109" s="924"/>
      <c r="K109" s="928"/>
      <c r="L109" s="928"/>
      <c r="M109" s="928"/>
      <c r="N109" s="925"/>
      <c r="O109" s="929"/>
      <c r="P109" s="929"/>
      <c r="Q109" s="922"/>
      <c r="R109" s="922"/>
      <c r="S109" s="929"/>
      <c r="T109" s="929"/>
      <c r="U109" s="929"/>
      <c r="V109" s="929"/>
      <c r="W109" s="929"/>
      <c r="X109" s="929"/>
      <c r="Y109" s="929"/>
      <c r="Z109" s="929"/>
      <c r="AA109" s="929"/>
      <c r="AB109" s="929"/>
      <c r="AC109" s="929"/>
      <c r="AD109" s="929"/>
      <c r="AE109" s="929"/>
      <c r="AF109" s="929"/>
      <c r="AG109" s="929"/>
      <c r="AH109" s="929"/>
      <c r="AI109" s="929"/>
      <c r="AJ109" s="929"/>
      <c r="AK109" s="929"/>
      <c r="AL109" s="929"/>
      <c r="AM109" s="929"/>
      <c r="AN109" s="929"/>
      <c r="AO109" s="929"/>
      <c r="AP109" s="929"/>
      <c r="AQ109" s="929"/>
      <c r="AR109" s="929"/>
      <c r="AS109" s="929"/>
      <c r="AT109" s="929"/>
      <c r="AU109" s="929"/>
      <c r="AV109" s="929"/>
      <c r="AW109" s="929"/>
      <c r="AX109" s="929"/>
      <c r="AY109" s="929"/>
      <c r="AZ109" s="929"/>
    </row>
    <row r="110" spans="1:52" s="49" customFormat="1" ht="12.75" x14ac:dyDescent="0.2">
      <c r="A110" s="945"/>
      <c r="B110" s="924"/>
      <c r="C110" s="924"/>
      <c r="D110" s="927"/>
      <c r="E110" s="926"/>
      <c r="F110" s="927"/>
      <c r="G110" s="924"/>
      <c r="H110" s="927"/>
      <c r="I110" s="928"/>
      <c r="J110" s="924"/>
      <c r="K110" s="928"/>
      <c r="L110" s="928"/>
      <c r="M110" s="928"/>
      <c r="N110" s="925"/>
      <c r="O110" s="929"/>
      <c r="P110" s="929"/>
      <c r="Q110" s="922"/>
      <c r="R110" s="922"/>
      <c r="S110" s="929"/>
      <c r="T110" s="929"/>
      <c r="U110" s="929"/>
      <c r="V110" s="929"/>
      <c r="W110" s="929"/>
      <c r="X110" s="929"/>
      <c r="Y110" s="929"/>
      <c r="Z110" s="929"/>
      <c r="AA110" s="929"/>
      <c r="AB110" s="929"/>
      <c r="AC110" s="929"/>
      <c r="AD110" s="929"/>
      <c r="AE110" s="929"/>
      <c r="AF110" s="929"/>
      <c r="AG110" s="929"/>
      <c r="AH110" s="929"/>
      <c r="AI110" s="929"/>
      <c r="AJ110" s="929"/>
      <c r="AK110" s="929"/>
      <c r="AL110" s="929"/>
      <c r="AM110" s="929"/>
      <c r="AN110" s="929"/>
      <c r="AO110" s="929"/>
      <c r="AP110" s="929"/>
      <c r="AQ110" s="929"/>
      <c r="AR110" s="929"/>
      <c r="AS110" s="929"/>
      <c r="AT110" s="929"/>
      <c r="AU110" s="929"/>
      <c r="AV110" s="929"/>
      <c r="AW110" s="929"/>
      <c r="AX110" s="929"/>
      <c r="AY110" s="929"/>
      <c r="AZ110" s="929"/>
    </row>
    <row r="111" spans="1:52" s="49" customFormat="1" ht="12.75" x14ac:dyDescent="0.2">
      <c r="A111" s="945"/>
      <c r="B111" s="924"/>
      <c r="C111" s="924"/>
      <c r="D111" s="927"/>
      <c r="E111" s="926"/>
      <c r="F111" s="927"/>
      <c r="G111" s="924"/>
      <c r="H111" s="927"/>
      <c r="I111" s="928"/>
      <c r="J111" s="924"/>
      <c r="K111" s="928"/>
      <c r="L111" s="928"/>
      <c r="M111" s="928"/>
      <c r="N111" s="925"/>
      <c r="O111" s="929"/>
      <c r="P111" s="929"/>
      <c r="Q111" s="922"/>
      <c r="R111" s="922"/>
      <c r="S111" s="929"/>
      <c r="T111" s="929"/>
      <c r="U111" s="929"/>
      <c r="V111" s="929"/>
      <c r="W111" s="929"/>
      <c r="X111" s="929"/>
      <c r="Y111" s="929"/>
      <c r="Z111" s="929"/>
      <c r="AA111" s="929"/>
      <c r="AB111" s="929"/>
      <c r="AC111" s="929"/>
      <c r="AD111" s="929"/>
      <c r="AE111" s="929"/>
      <c r="AF111" s="929"/>
      <c r="AG111" s="929"/>
      <c r="AH111" s="929"/>
      <c r="AI111" s="929"/>
      <c r="AJ111" s="929"/>
      <c r="AK111" s="929"/>
      <c r="AL111" s="929"/>
      <c r="AM111" s="929"/>
      <c r="AN111" s="929"/>
      <c r="AO111" s="929"/>
      <c r="AP111" s="929"/>
      <c r="AQ111" s="929"/>
      <c r="AR111" s="929"/>
      <c r="AS111" s="929"/>
      <c r="AT111" s="929"/>
      <c r="AU111" s="929"/>
      <c r="AV111" s="929"/>
      <c r="AW111" s="929"/>
      <c r="AX111" s="929"/>
      <c r="AY111" s="929"/>
      <c r="AZ111" s="929"/>
    </row>
    <row r="112" spans="1:52" s="49" customFormat="1" ht="12.75" x14ac:dyDescent="0.2">
      <c r="A112" s="945"/>
      <c r="B112" s="924"/>
      <c r="C112" s="924"/>
      <c r="D112" s="927"/>
      <c r="E112" s="926"/>
      <c r="F112" s="927"/>
      <c r="G112" s="924"/>
      <c r="H112" s="927"/>
      <c r="I112" s="928"/>
      <c r="J112" s="924"/>
      <c r="K112" s="928"/>
      <c r="L112" s="928"/>
      <c r="M112" s="928"/>
      <c r="N112" s="925"/>
      <c r="O112" s="929"/>
      <c r="P112" s="929"/>
      <c r="Q112" s="922"/>
      <c r="R112" s="922"/>
      <c r="S112" s="929"/>
      <c r="T112" s="929"/>
      <c r="U112" s="929"/>
      <c r="V112" s="929"/>
      <c r="W112" s="929"/>
      <c r="X112" s="929"/>
      <c r="Y112" s="929"/>
      <c r="Z112" s="929"/>
      <c r="AA112" s="929"/>
      <c r="AB112" s="929"/>
      <c r="AC112" s="929"/>
      <c r="AD112" s="929"/>
      <c r="AE112" s="929"/>
      <c r="AF112" s="929"/>
      <c r="AG112" s="929"/>
      <c r="AH112" s="929"/>
      <c r="AI112" s="929"/>
      <c r="AJ112" s="929"/>
      <c r="AK112" s="929"/>
      <c r="AL112" s="929"/>
      <c r="AM112" s="929"/>
      <c r="AN112" s="929"/>
      <c r="AO112" s="929"/>
      <c r="AP112" s="929"/>
      <c r="AQ112" s="929"/>
      <c r="AR112" s="929"/>
      <c r="AS112" s="929"/>
      <c r="AT112" s="929"/>
      <c r="AU112" s="929"/>
      <c r="AV112" s="929"/>
      <c r="AW112" s="929"/>
      <c r="AX112" s="929"/>
      <c r="AY112" s="929"/>
      <c r="AZ112" s="929"/>
    </row>
    <row r="113" spans="1:52" s="49" customFormat="1" ht="12.75" x14ac:dyDescent="0.2">
      <c r="A113" s="945"/>
      <c r="B113" s="924"/>
      <c r="C113" s="924"/>
      <c r="D113" s="927"/>
      <c r="E113" s="926"/>
      <c r="F113" s="927"/>
      <c r="G113" s="924"/>
      <c r="H113" s="927"/>
      <c r="I113" s="928"/>
      <c r="J113" s="924"/>
      <c r="K113" s="928"/>
      <c r="L113" s="928"/>
      <c r="M113" s="928"/>
      <c r="N113" s="925"/>
      <c r="O113" s="929"/>
      <c r="P113" s="929"/>
      <c r="Q113" s="922"/>
      <c r="R113" s="922"/>
      <c r="S113" s="929"/>
      <c r="T113" s="929"/>
      <c r="U113" s="929"/>
      <c r="V113" s="929"/>
      <c r="W113" s="929"/>
      <c r="X113" s="929"/>
      <c r="Y113" s="929"/>
      <c r="Z113" s="929"/>
      <c r="AA113" s="929"/>
      <c r="AB113" s="929"/>
      <c r="AC113" s="929"/>
      <c r="AD113" s="929"/>
      <c r="AE113" s="929"/>
      <c r="AF113" s="929"/>
      <c r="AG113" s="929"/>
      <c r="AH113" s="929"/>
      <c r="AI113" s="929"/>
      <c r="AJ113" s="929"/>
      <c r="AK113" s="929"/>
      <c r="AL113" s="929"/>
      <c r="AM113" s="929"/>
      <c r="AN113" s="929"/>
      <c r="AO113" s="929"/>
      <c r="AP113" s="929"/>
      <c r="AQ113" s="929"/>
      <c r="AR113" s="929"/>
      <c r="AS113" s="929"/>
      <c r="AT113" s="929"/>
      <c r="AU113" s="929"/>
      <c r="AV113" s="929"/>
      <c r="AW113" s="929"/>
      <c r="AX113" s="929"/>
      <c r="AY113" s="929"/>
      <c r="AZ113" s="929"/>
    </row>
    <row r="114" spans="1:52" s="49" customFormat="1" ht="12.75" x14ac:dyDescent="0.2">
      <c r="A114" s="945"/>
      <c r="B114" s="924"/>
      <c r="C114" s="924"/>
      <c r="D114" s="927"/>
      <c r="E114" s="926"/>
      <c r="F114" s="927"/>
      <c r="G114" s="924"/>
      <c r="H114" s="927"/>
      <c r="I114" s="928"/>
      <c r="J114" s="924"/>
      <c r="K114" s="928"/>
      <c r="L114" s="928"/>
      <c r="M114" s="928"/>
      <c r="N114" s="925"/>
      <c r="O114" s="929"/>
      <c r="P114" s="929"/>
      <c r="Q114" s="922"/>
      <c r="R114" s="922"/>
      <c r="S114" s="929"/>
      <c r="T114" s="929"/>
      <c r="U114" s="929"/>
      <c r="V114" s="929"/>
      <c r="W114" s="929"/>
      <c r="X114" s="929"/>
      <c r="Y114" s="929"/>
      <c r="Z114" s="929"/>
      <c r="AA114" s="929"/>
      <c r="AB114" s="929"/>
      <c r="AC114" s="929"/>
      <c r="AD114" s="929"/>
      <c r="AE114" s="929"/>
      <c r="AF114" s="929"/>
      <c r="AG114" s="929"/>
      <c r="AH114" s="929"/>
      <c r="AI114" s="929"/>
      <c r="AJ114" s="929"/>
      <c r="AK114" s="929"/>
      <c r="AL114" s="929"/>
      <c r="AM114" s="929"/>
      <c r="AN114" s="929"/>
      <c r="AO114" s="929"/>
      <c r="AP114" s="929"/>
      <c r="AQ114" s="929"/>
      <c r="AR114" s="929"/>
      <c r="AS114" s="929"/>
      <c r="AT114" s="929"/>
      <c r="AU114" s="929"/>
      <c r="AV114" s="929"/>
      <c r="AW114" s="929"/>
      <c r="AX114" s="929"/>
      <c r="AY114" s="929"/>
      <c r="AZ114" s="929"/>
    </row>
    <row r="115" spans="1:52" s="49" customFormat="1" ht="12.75" x14ac:dyDescent="0.2">
      <c r="A115" s="945"/>
      <c r="B115" s="924"/>
      <c r="C115" s="924"/>
      <c r="D115" s="927"/>
      <c r="E115" s="926"/>
      <c r="F115" s="927"/>
      <c r="G115" s="924"/>
      <c r="H115" s="927"/>
      <c r="I115" s="928"/>
      <c r="J115" s="924"/>
      <c r="K115" s="928"/>
      <c r="L115" s="928"/>
      <c r="M115" s="928"/>
      <c r="N115" s="925"/>
      <c r="O115" s="929"/>
      <c r="P115" s="929"/>
      <c r="Q115" s="922"/>
      <c r="R115" s="922"/>
      <c r="S115" s="929"/>
      <c r="T115" s="929"/>
      <c r="U115" s="929"/>
      <c r="V115" s="929"/>
      <c r="W115" s="929"/>
      <c r="X115" s="929"/>
      <c r="Y115" s="929"/>
      <c r="Z115" s="929"/>
      <c r="AA115" s="929"/>
      <c r="AB115" s="929"/>
      <c r="AC115" s="929"/>
      <c r="AD115" s="929"/>
      <c r="AE115" s="929"/>
      <c r="AF115" s="929"/>
      <c r="AG115" s="929"/>
      <c r="AH115" s="929"/>
      <c r="AI115" s="929"/>
      <c r="AJ115" s="929"/>
      <c r="AK115" s="929"/>
      <c r="AL115" s="929"/>
      <c r="AM115" s="929"/>
      <c r="AN115" s="929"/>
      <c r="AO115" s="929"/>
      <c r="AP115" s="929"/>
      <c r="AQ115" s="929"/>
      <c r="AR115" s="929"/>
      <c r="AS115" s="929"/>
      <c r="AT115" s="929"/>
      <c r="AU115" s="929"/>
      <c r="AV115" s="929"/>
      <c r="AW115" s="929"/>
      <c r="AX115" s="929"/>
      <c r="AY115" s="929"/>
      <c r="AZ115" s="929"/>
    </row>
    <row r="116" spans="1:52" s="49" customFormat="1" ht="12.75" x14ac:dyDescent="0.2">
      <c r="A116" s="945"/>
      <c r="B116" s="924"/>
      <c r="C116" s="924"/>
      <c r="D116" s="927"/>
      <c r="E116" s="926"/>
      <c r="F116" s="927"/>
      <c r="G116" s="924"/>
      <c r="H116" s="927"/>
      <c r="I116" s="928"/>
      <c r="J116" s="924"/>
      <c r="K116" s="928"/>
      <c r="L116" s="928"/>
      <c r="M116" s="928"/>
      <c r="N116" s="925"/>
      <c r="O116" s="929"/>
      <c r="P116" s="929"/>
      <c r="Q116" s="922"/>
      <c r="R116" s="922"/>
      <c r="S116" s="929"/>
      <c r="T116" s="929"/>
      <c r="U116" s="929"/>
      <c r="V116" s="929"/>
      <c r="W116" s="929"/>
      <c r="X116" s="929"/>
      <c r="Y116" s="929"/>
      <c r="Z116" s="929"/>
      <c r="AA116" s="929"/>
      <c r="AB116" s="929"/>
      <c r="AC116" s="929"/>
      <c r="AD116" s="929"/>
      <c r="AE116" s="929"/>
      <c r="AF116" s="929"/>
      <c r="AG116" s="929"/>
      <c r="AH116" s="929"/>
      <c r="AI116" s="929"/>
      <c r="AJ116" s="929"/>
      <c r="AK116" s="929"/>
      <c r="AL116" s="929"/>
      <c r="AM116" s="929"/>
      <c r="AN116" s="929"/>
      <c r="AO116" s="929"/>
      <c r="AP116" s="929"/>
      <c r="AQ116" s="929"/>
      <c r="AR116" s="929"/>
      <c r="AS116" s="929"/>
      <c r="AT116" s="929"/>
      <c r="AU116" s="929"/>
      <c r="AV116" s="929"/>
      <c r="AW116" s="929"/>
      <c r="AX116" s="929"/>
      <c r="AY116" s="929"/>
      <c r="AZ116" s="929"/>
    </row>
    <row r="117" spans="1:52" s="49" customFormat="1" ht="12.75" x14ac:dyDescent="0.2">
      <c r="A117" s="945"/>
      <c r="B117" s="924"/>
      <c r="C117" s="924"/>
      <c r="D117" s="927"/>
      <c r="E117" s="926"/>
      <c r="F117" s="927"/>
      <c r="G117" s="924"/>
      <c r="H117" s="927"/>
      <c r="I117" s="928"/>
      <c r="J117" s="924"/>
      <c r="K117" s="928"/>
      <c r="L117" s="928"/>
      <c r="M117" s="928"/>
      <c r="N117" s="925"/>
      <c r="O117" s="929"/>
      <c r="P117" s="929"/>
      <c r="Q117" s="922"/>
      <c r="R117" s="922"/>
      <c r="S117" s="929"/>
      <c r="T117" s="929"/>
      <c r="U117" s="929"/>
      <c r="V117" s="929"/>
      <c r="W117" s="929"/>
      <c r="X117" s="929"/>
      <c r="Y117" s="929"/>
      <c r="Z117" s="929"/>
      <c r="AA117" s="929"/>
      <c r="AB117" s="929"/>
      <c r="AC117" s="929"/>
      <c r="AD117" s="929"/>
      <c r="AE117" s="929"/>
      <c r="AF117" s="929"/>
      <c r="AG117" s="929"/>
      <c r="AH117" s="929"/>
      <c r="AI117" s="929"/>
      <c r="AJ117" s="929"/>
      <c r="AK117" s="929"/>
      <c r="AL117" s="929"/>
      <c r="AM117" s="929"/>
      <c r="AN117" s="929"/>
      <c r="AO117" s="929"/>
      <c r="AP117" s="929"/>
      <c r="AQ117" s="929"/>
      <c r="AR117" s="929"/>
      <c r="AS117" s="929"/>
      <c r="AT117" s="929"/>
      <c r="AU117" s="929"/>
      <c r="AV117" s="929"/>
      <c r="AW117" s="929"/>
      <c r="AX117" s="929"/>
      <c r="AY117" s="929"/>
      <c r="AZ117" s="929"/>
    </row>
    <row r="118" spans="1:52" s="49" customFormat="1" ht="12.75" x14ac:dyDescent="0.2">
      <c r="A118" s="945"/>
      <c r="B118" s="924"/>
      <c r="C118" s="924"/>
      <c r="D118" s="927"/>
      <c r="E118" s="926"/>
      <c r="F118" s="927"/>
      <c r="G118" s="924"/>
      <c r="H118" s="927"/>
      <c r="I118" s="928"/>
      <c r="J118" s="924"/>
      <c r="K118" s="928"/>
      <c r="L118" s="928"/>
      <c r="M118" s="928"/>
      <c r="N118" s="925"/>
      <c r="O118" s="929"/>
      <c r="P118" s="929"/>
      <c r="Q118" s="922"/>
      <c r="R118" s="922"/>
      <c r="S118" s="929"/>
      <c r="T118" s="929"/>
      <c r="U118" s="929"/>
      <c r="V118" s="929"/>
      <c r="W118" s="929"/>
      <c r="X118" s="929"/>
      <c r="Y118" s="929"/>
      <c r="Z118" s="929"/>
      <c r="AA118" s="929"/>
      <c r="AB118" s="929"/>
      <c r="AC118" s="929"/>
      <c r="AD118" s="929"/>
      <c r="AE118" s="929"/>
      <c r="AF118" s="929"/>
      <c r="AG118" s="929"/>
      <c r="AH118" s="929"/>
      <c r="AI118" s="929"/>
      <c r="AJ118" s="929"/>
      <c r="AK118" s="929"/>
      <c r="AL118" s="929"/>
      <c r="AM118" s="929"/>
      <c r="AN118" s="929"/>
      <c r="AO118" s="929"/>
      <c r="AP118" s="929"/>
      <c r="AQ118" s="929"/>
      <c r="AR118" s="929"/>
      <c r="AS118" s="929"/>
      <c r="AT118" s="929"/>
      <c r="AU118" s="929"/>
      <c r="AV118" s="929"/>
      <c r="AW118" s="929"/>
      <c r="AX118" s="929"/>
      <c r="AY118" s="929"/>
      <c r="AZ118" s="929"/>
    </row>
    <row r="119" spans="1:52" s="49" customFormat="1" ht="12.75" x14ac:dyDescent="0.2">
      <c r="A119" s="945"/>
      <c r="B119" s="924"/>
      <c r="C119" s="924"/>
      <c r="D119" s="927"/>
      <c r="E119" s="926"/>
      <c r="F119" s="927"/>
      <c r="G119" s="924"/>
      <c r="H119" s="927"/>
      <c r="I119" s="928"/>
      <c r="J119" s="924"/>
      <c r="K119" s="928"/>
      <c r="L119" s="928"/>
      <c r="M119" s="928"/>
      <c r="N119" s="925"/>
      <c r="O119" s="929"/>
      <c r="P119" s="929"/>
      <c r="Q119" s="922"/>
      <c r="R119" s="922"/>
      <c r="S119" s="929"/>
      <c r="T119" s="929"/>
      <c r="U119" s="929"/>
      <c r="V119" s="929"/>
      <c r="W119" s="929"/>
      <c r="X119" s="929"/>
      <c r="Y119" s="929"/>
      <c r="Z119" s="929"/>
      <c r="AA119" s="929"/>
      <c r="AB119" s="929"/>
      <c r="AC119" s="929"/>
      <c r="AD119" s="929"/>
      <c r="AE119" s="929"/>
      <c r="AF119" s="929"/>
      <c r="AG119" s="929"/>
      <c r="AH119" s="929"/>
      <c r="AI119" s="929"/>
      <c r="AJ119" s="929"/>
      <c r="AK119" s="929"/>
      <c r="AL119" s="929"/>
      <c r="AM119" s="929"/>
      <c r="AN119" s="929"/>
      <c r="AO119" s="929"/>
      <c r="AP119" s="929"/>
      <c r="AQ119" s="929"/>
      <c r="AR119" s="929"/>
      <c r="AS119" s="929"/>
      <c r="AT119" s="929"/>
      <c r="AU119" s="929"/>
      <c r="AV119" s="929"/>
      <c r="AW119" s="929"/>
      <c r="AX119" s="929"/>
      <c r="AY119" s="929"/>
      <c r="AZ119" s="929"/>
    </row>
    <row r="120" spans="1:52" s="49" customFormat="1" ht="12.75" x14ac:dyDescent="0.2">
      <c r="A120" s="945"/>
      <c r="B120" s="924"/>
      <c r="C120" s="924"/>
      <c r="D120" s="927"/>
      <c r="E120" s="926"/>
      <c r="F120" s="927"/>
      <c r="G120" s="924"/>
      <c r="H120" s="927"/>
      <c r="I120" s="928"/>
      <c r="J120" s="924"/>
      <c r="K120" s="928"/>
      <c r="L120" s="928"/>
      <c r="M120" s="928"/>
      <c r="N120" s="925"/>
      <c r="O120" s="929"/>
      <c r="P120" s="929"/>
      <c r="Q120" s="922"/>
      <c r="R120" s="922"/>
      <c r="S120" s="929"/>
      <c r="T120" s="929"/>
      <c r="U120" s="929"/>
      <c r="V120" s="929"/>
      <c r="W120" s="929"/>
      <c r="X120" s="929"/>
      <c r="Y120" s="929"/>
      <c r="Z120" s="929"/>
      <c r="AA120" s="929"/>
      <c r="AB120" s="929"/>
      <c r="AC120" s="929"/>
      <c r="AD120" s="929"/>
      <c r="AE120" s="929"/>
      <c r="AF120" s="929"/>
      <c r="AG120" s="929"/>
      <c r="AH120" s="929"/>
      <c r="AI120" s="929"/>
      <c r="AJ120" s="929"/>
      <c r="AK120" s="929"/>
      <c r="AL120" s="929"/>
      <c r="AM120" s="929"/>
      <c r="AN120" s="929"/>
      <c r="AO120" s="929"/>
      <c r="AP120" s="929"/>
      <c r="AQ120" s="929"/>
      <c r="AR120" s="929"/>
      <c r="AS120" s="929"/>
      <c r="AT120" s="929"/>
      <c r="AU120" s="929"/>
      <c r="AV120" s="929"/>
      <c r="AW120" s="929"/>
      <c r="AX120" s="929"/>
      <c r="AY120" s="929"/>
      <c r="AZ120" s="929"/>
    </row>
    <row r="121" spans="1:52" s="49" customFormat="1" ht="12.75" x14ac:dyDescent="0.2">
      <c r="A121" s="945"/>
      <c r="B121" s="924"/>
      <c r="C121" s="924"/>
      <c r="D121" s="927"/>
      <c r="E121" s="926"/>
      <c r="F121" s="927"/>
      <c r="G121" s="924"/>
      <c r="H121" s="927"/>
      <c r="I121" s="928"/>
      <c r="J121" s="924"/>
      <c r="K121" s="928"/>
      <c r="L121" s="928"/>
      <c r="M121" s="928"/>
      <c r="N121" s="925"/>
      <c r="O121" s="929"/>
      <c r="P121" s="929"/>
      <c r="Q121" s="922"/>
      <c r="R121" s="922"/>
      <c r="S121" s="929"/>
      <c r="T121" s="929"/>
      <c r="U121" s="929"/>
      <c r="V121" s="929"/>
      <c r="W121" s="929"/>
      <c r="X121" s="929"/>
      <c r="Y121" s="929"/>
      <c r="Z121" s="929"/>
      <c r="AA121" s="929"/>
      <c r="AB121" s="929"/>
      <c r="AC121" s="929"/>
      <c r="AD121" s="929"/>
      <c r="AE121" s="929"/>
      <c r="AF121" s="929"/>
      <c r="AG121" s="929"/>
      <c r="AH121" s="929"/>
      <c r="AI121" s="929"/>
      <c r="AJ121" s="929"/>
      <c r="AK121" s="929"/>
      <c r="AL121" s="929"/>
      <c r="AM121" s="929"/>
      <c r="AN121" s="929"/>
      <c r="AO121" s="929"/>
      <c r="AP121" s="929"/>
      <c r="AQ121" s="929"/>
      <c r="AR121" s="929"/>
      <c r="AS121" s="929"/>
      <c r="AT121" s="929"/>
      <c r="AU121" s="929"/>
      <c r="AV121" s="929"/>
      <c r="AW121" s="929"/>
      <c r="AX121" s="929"/>
      <c r="AY121" s="929"/>
      <c r="AZ121" s="929"/>
    </row>
    <row r="122" spans="1:52" s="49" customFormat="1" ht="12.75" x14ac:dyDescent="0.2">
      <c r="A122" s="945"/>
      <c r="B122" s="924"/>
      <c r="C122" s="924"/>
      <c r="D122" s="927"/>
      <c r="E122" s="926"/>
      <c r="F122" s="927"/>
      <c r="G122" s="924"/>
      <c r="H122" s="927"/>
      <c r="I122" s="928"/>
      <c r="J122" s="924"/>
      <c r="K122" s="928"/>
      <c r="L122" s="928"/>
      <c r="M122" s="928"/>
      <c r="N122" s="925"/>
      <c r="O122" s="929"/>
      <c r="P122" s="929"/>
      <c r="Q122" s="922"/>
      <c r="R122" s="922"/>
      <c r="S122" s="929"/>
      <c r="T122" s="929"/>
      <c r="U122" s="929"/>
      <c r="V122" s="929"/>
      <c r="W122" s="929"/>
      <c r="X122" s="929"/>
      <c r="Y122" s="929"/>
      <c r="Z122" s="929"/>
      <c r="AA122" s="929"/>
      <c r="AB122" s="929"/>
      <c r="AC122" s="929"/>
      <c r="AD122" s="929"/>
      <c r="AE122" s="929"/>
      <c r="AF122" s="929"/>
      <c r="AG122" s="929"/>
      <c r="AH122" s="929"/>
      <c r="AI122" s="929"/>
      <c r="AJ122" s="929"/>
      <c r="AK122" s="929"/>
      <c r="AL122" s="929"/>
      <c r="AM122" s="929"/>
      <c r="AN122" s="929"/>
      <c r="AO122" s="929"/>
      <c r="AP122" s="929"/>
      <c r="AQ122" s="929"/>
      <c r="AR122" s="929"/>
      <c r="AS122" s="929"/>
      <c r="AT122" s="929"/>
      <c r="AU122" s="929"/>
      <c r="AV122" s="929"/>
      <c r="AW122" s="929"/>
      <c r="AX122" s="929"/>
      <c r="AY122" s="929"/>
      <c r="AZ122" s="929"/>
    </row>
    <row r="123" spans="1:52" s="49" customFormat="1" ht="12.75" x14ac:dyDescent="0.2">
      <c r="A123" s="945"/>
      <c r="B123" s="924"/>
      <c r="C123" s="924"/>
      <c r="D123" s="927"/>
      <c r="E123" s="926"/>
      <c r="F123" s="927"/>
      <c r="G123" s="924"/>
      <c r="H123" s="927"/>
      <c r="I123" s="928"/>
      <c r="J123" s="924"/>
      <c r="K123" s="928"/>
      <c r="L123" s="928"/>
      <c r="M123" s="928"/>
      <c r="N123" s="925"/>
      <c r="O123" s="929"/>
      <c r="P123" s="929"/>
      <c r="Q123" s="922"/>
      <c r="R123" s="922"/>
      <c r="S123" s="929"/>
      <c r="T123" s="929"/>
      <c r="U123" s="929"/>
      <c r="V123" s="929"/>
      <c r="W123" s="929"/>
      <c r="X123" s="929"/>
      <c r="Y123" s="929"/>
      <c r="Z123" s="929"/>
      <c r="AA123" s="929"/>
      <c r="AB123" s="929"/>
      <c r="AC123" s="929"/>
      <c r="AD123" s="929"/>
      <c r="AE123" s="929"/>
      <c r="AF123" s="929"/>
      <c r="AG123" s="929"/>
      <c r="AH123" s="929"/>
      <c r="AI123" s="929"/>
      <c r="AJ123" s="929"/>
      <c r="AK123" s="929"/>
      <c r="AL123" s="929"/>
      <c r="AM123" s="929"/>
      <c r="AN123" s="929"/>
      <c r="AO123" s="929"/>
      <c r="AP123" s="929"/>
      <c r="AQ123" s="929"/>
      <c r="AR123" s="929"/>
      <c r="AS123" s="929"/>
      <c r="AT123" s="929"/>
      <c r="AU123" s="929"/>
      <c r="AV123" s="929"/>
      <c r="AW123" s="929"/>
      <c r="AX123" s="929"/>
      <c r="AY123" s="929"/>
      <c r="AZ123" s="929"/>
    </row>
    <row r="124" spans="1:52" s="49" customFormat="1" ht="12.75" x14ac:dyDescent="0.2">
      <c r="A124" s="945"/>
      <c r="B124" s="924"/>
      <c r="C124" s="924"/>
      <c r="D124" s="927"/>
      <c r="E124" s="926"/>
      <c r="F124" s="927"/>
      <c r="G124" s="924"/>
      <c r="H124" s="927"/>
      <c r="I124" s="928"/>
      <c r="J124" s="924"/>
      <c r="K124" s="928"/>
      <c r="L124" s="928"/>
      <c r="M124" s="928"/>
      <c r="N124" s="925"/>
      <c r="O124" s="929"/>
      <c r="P124" s="929"/>
      <c r="Q124" s="922"/>
      <c r="R124" s="922"/>
      <c r="S124" s="929"/>
      <c r="T124" s="929"/>
      <c r="U124" s="929"/>
      <c r="V124" s="929"/>
      <c r="W124" s="929"/>
      <c r="X124" s="929"/>
      <c r="Y124" s="929"/>
      <c r="Z124" s="929"/>
      <c r="AA124" s="929"/>
      <c r="AB124" s="929"/>
      <c r="AC124" s="929"/>
      <c r="AD124" s="929"/>
      <c r="AE124" s="929"/>
      <c r="AF124" s="929"/>
      <c r="AG124" s="929"/>
      <c r="AH124" s="929"/>
      <c r="AI124" s="929"/>
      <c r="AJ124" s="929"/>
      <c r="AK124" s="929"/>
      <c r="AL124" s="929"/>
      <c r="AM124" s="929"/>
      <c r="AN124" s="929"/>
      <c r="AO124" s="929"/>
      <c r="AP124" s="929"/>
      <c r="AQ124" s="929"/>
      <c r="AR124" s="929"/>
      <c r="AS124" s="929"/>
      <c r="AT124" s="929"/>
      <c r="AU124" s="929"/>
      <c r="AV124" s="929"/>
      <c r="AW124" s="929"/>
      <c r="AX124" s="929"/>
      <c r="AY124" s="929"/>
      <c r="AZ124" s="929"/>
    </row>
    <row r="125" spans="1:52" s="49" customFormat="1" ht="12.75" x14ac:dyDescent="0.2">
      <c r="A125" s="945"/>
      <c r="B125" s="924"/>
      <c r="C125" s="924"/>
      <c r="D125" s="927"/>
      <c r="E125" s="926"/>
      <c r="F125" s="927"/>
      <c r="G125" s="924"/>
      <c r="H125" s="927"/>
      <c r="I125" s="928"/>
      <c r="J125" s="924"/>
      <c r="K125" s="928"/>
      <c r="L125" s="928"/>
      <c r="M125" s="928"/>
      <c r="N125" s="925"/>
      <c r="O125" s="929"/>
      <c r="P125" s="929"/>
      <c r="Q125" s="922"/>
      <c r="R125" s="922"/>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row>
    <row r="126" spans="1:52" s="49" customFormat="1" ht="12.75" x14ac:dyDescent="0.2">
      <c r="A126" s="945"/>
      <c r="B126" s="924"/>
      <c r="C126" s="924"/>
      <c r="D126" s="927"/>
      <c r="E126" s="926"/>
      <c r="F126" s="927"/>
      <c r="G126" s="924"/>
      <c r="H126" s="927"/>
      <c r="I126" s="928"/>
      <c r="J126" s="924"/>
      <c r="K126" s="928"/>
      <c r="L126" s="928"/>
      <c r="M126" s="928"/>
      <c r="N126" s="925"/>
      <c r="O126" s="929"/>
      <c r="P126" s="929"/>
      <c r="Q126" s="922"/>
      <c r="R126" s="922"/>
      <c r="S126" s="929"/>
      <c r="T126" s="929"/>
      <c r="U126" s="929"/>
      <c r="V126" s="929"/>
      <c r="W126" s="929"/>
      <c r="X126" s="929"/>
      <c r="Y126" s="929"/>
      <c r="Z126" s="929"/>
      <c r="AA126" s="929"/>
      <c r="AB126" s="929"/>
      <c r="AC126" s="929"/>
      <c r="AD126" s="929"/>
      <c r="AE126" s="929"/>
      <c r="AF126" s="929"/>
      <c r="AG126" s="929"/>
      <c r="AH126" s="929"/>
      <c r="AI126" s="929"/>
      <c r="AJ126" s="929"/>
      <c r="AK126" s="929"/>
      <c r="AL126" s="929"/>
      <c r="AM126" s="929"/>
      <c r="AN126" s="929"/>
      <c r="AO126" s="929"/>
      <c r="AP126" s="929"/>
      <c r="AQ126" s="929"/>
      <c r="AR126" s="929"/>
      <c r="AS126" s="929"/>
      <c r="AT126" s="929"/>
      <c r="AU126" s="929"/>
      <c r="AV126" s="929"/>
      <c r="AW126" s="929"/>
      <c r="AX126" s="929"/>
      <c r="AY126" s="929"/>
      <c r="AZ126" s="929"/>
    </row>
    <row r="127" spans="1:52" s="49" customFormat="1" ht="12.75" x14ac:dyDescent="0.2">
      <c r="A127" s="945"/>
      <c r="B127" s="924"/>
      <c r="C127" s="924"/>
      <c r="D127" s="927"/>
      <c r="E127" s="926"/>
      <c r="F127" s="927"/>
      <c r="G127" s="924"/>
      <c r="H127" s="927"/>
      <c r="I127" s="928"/>
      <c r="J127" s="924"/>
      <c r="K127" s="928"/>
      <c r="L127" s="928"/>
      <c r="M127" s="928"/>
      <c r="N127" s="925"/>
      <c r="O127" s="929"/>
      <c r="P127" s="929"/>
      <c r="Q127" s="922"/>
      <c r="R127" s="922"/>
      <c r="S127" s="929"/>
      <c r="T127" s="929"/>
      <c r="U127" s="929"/>
      <c r="V127" s="929"/>
      <c r="W127" s="929"/>
      <c r="X127" s="929"/>
      <c r="Y127" s="929"/>
      <c r="Z127" s="929"/>
      <c r="AA127" s="929"/>
      <c r="AB127" s="929"/>
      <c r="AC127" s="929"/>
      <c r="AD127" s="929"/>
      <c r="AE127" s="929"/>
      <c r="AF127" s="929"/>
      <c r="AG127" s="929"/>
      <c r="AH127" s="929"/>
      <c r="AI127" s="929"/>
      <c r="AJ127" s="929"/>
      <c r="AK127" s="929"/>
      <c r="AL127" s="929"/>
      <c r="AM127" s="929"/>
      <c r="AN127" s="929"/>
      <c r="AO127" s="929"/>
      <c r="AP127" s="929"/>
      <c r="AQ127" s="929"/>
      <c r="AR127" s="929"/>
      <c r="AS127" s="929"/>
      <c r="AT127" s="929"/>
      <c r="AU127" s="929"/>
      <c r="AV127" s="929"/>
      <c r="AW127" s="929"/>
      <c r="AX127" s="929"/>
      <c r="AY127" s="929"/>
      <c r="AZ127" s="929"/>
    </row>
    <row r="128" spans="1:52" s="49" customFormat="1" ht="12.75" x14ac:dyDescent="0.2">
      <c r="A128" s="945"/>
      <c r="B128" s="924"/>
      <c r="C128" s="924"/>
      <c r="D128" s="927"/>
      <c r="E128" s="926"/>
      <c r="F128" s="927"/>
      <c r="G128" s="924"/>
      <c r="H128" s="927"/>
      <c r="I128" s="928"/>
      <c r="J128" s="924"/>
      <c r="K128" s="928"/>
      <c r="L128" s="928"/>
      <c r="M128" s="928"/>
      <c r="N128" s="925"/>
      <c r="O128" s="929"/>
      <c r="P128" s="929"/>
      <c r="Q128" s="922"/>
      <c r="R128" s="922"/>
      <c r="S128" s="929"/>
      <c r="T128" s="929"/>
      <c r="U128" s="929"/>
      <c r="V128" s="929"/>
      <c r="W128" s="929"/>
      <c r="X128" s="929"/>
      <c r="Y128" s="929"/>
      <c r="Z128" s="929"/>
      <c r="AA128" s="929"/>
      <c r="AB128" s="929"/>
      <c r="AC128" s="929"/>
      <c r="AD128" s="929"/>
      <c r="AE128" s="929"/>
      <c r="AF128" s="929"/>
      <c r="AG128" s="929"/>
      <c r="AH128" s="929"/>
      <c r="AI128" s="929"/>
      <c r="AJ128" s="929"/>
      <c r="AK128" s="929"/>
      <c r="AL128" s="929"/>
      <c r="AM128" s="929"/>
      <c r="AN128" s="929"/>
      <c r="AO128" s="929"/>
      <c r="AP128" s="929"/>
      <c r="AQ128" s="929"/>
      <c r="AR128" s="929"/>
      <c r="AS128" s="929"/>
      <c r="AT128" s="929"/>
      <c r="AU128" s="929"/>
      <c r="AV128" s="929"/>
      <c r="AW128" s="929"/>
      <c r="AX128" s="929"/>
      <c r="AY128" s="929"/>
      <c r="AZ128" s="929"/>
    </row>
    <row r="129" spans="1:52" s="49" customFormat="1" ht="12.75" x14ac:dyDescent="0.2">
      <c r="A129" s="945"/>
      <c r="B129" s="924"/>
      <c r="C129" s="924"/>
      <c r="D129" s="927"/>
      <c r="E129" s="926"/>
      <c r="F129" s="927"/>
      <c r="G129" s="924"/>
      <c r="H129" s="927"/>
      <c r="I129" s="928"/>
      <c r="J129" s="924"/>
      <c r="K129" s="928"/>
      <c r="L129" s="928"/>
      <c r="M129" s="928"/>
      <c r="N129" s="925"/>
      <c r="O129" s="929"/>
      <c r="P129" s="929"/>
      <c r="Q129" s="922"/>
      <c r="R129" s="922"/>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9"/>
      <c r="AO129" s="929"/>
      <c r="AP129" s="929"/>
      <c r="AQ129" s="929"/>
      <c r="AR129" s="929"/>
      <c r="AS129" s="929"/>
      <c r="AT129" s="929"/>
      <c r="AU129" s="929"/>
      <c r="AV129" s="929"/>
      <c r="AW129" s="929"/>
      <c r="AX129" s="929"/>
      <c r="AY129" s="929"/>
      <c r="AZ129" s="929"/>
    </row>
    <row r="130" spans="1:52" s="49" customFormat="1" ht="12.75" x14ac:dyDescent="0.2">
      <c r="A130" s="945"/>
      <c r="B130" s="924"/>
      <c r="C130" s="924"/>
      <c r="D130" s="927"/>
      <c r="E130" s="926"/>
      <c r="F130" s="927"/>
      <c r="G130" s="924"/>
      <c r="H130" s="927"/>
      <c r="I130" s="928"/>
      <c r="J130" s="924"/>
      <c r="K130" s="928"/>
      <c r="L130" s="928"/>
      <c r="M130" s="928"/>
      <c r="N130" s="925"/>
      <c r="O130" s="929"/>
      <c r="P130" s="929"/>
      <c r="Q130" s="922"/>
      <c r="R130" s="922"/>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9"/>
      <c r="AO130" s="929"/>
      <c r="AP130" s="929"/>
      <c r="AQ130" s="929"/>
      <c r="AR130" s="929"/>
      <c r="AS130" s="929"/>
      <c r="AT130" s="929"/>
      <c r="AU130" s="929"/>
      <c r="AV130" s="929"/>
      <c r="AW130" s="929"/>
      <c r="AX130" s="929"/>
      <c r="AY130" s="929"/>
      <c r="AZ130" s="929"/>
    </row>
    <row r="131" spans="1:52" s="49" customFormat="1" ht="12.75" x14ac:dyDescent="0.2">
      <c r="A131" s="945"/>
      <c r="B131" s="924"/>
      <c r="C131" s="924"/>
      <c r="D131" s="927"/>
      <c r="E131" s="926"/>
      <c r="F131" s="927"/>
      <c r="G131" s="924"/>
      <c r="H131" s="927"/>
      <c r="I131" s="928"/>
      <c r="J131" s="924"/>
      <c r="K131" s="928"/>
      <c r="L131" s="928"/>
      <c r="M131" s="928"/>
      <c r="N131" s="925"/>
      <c r="O131" s="929"/>
      <c r="P131" s="929"/>
      <c r="Q131" s="922"/>
      <c r="R131" s="922"/>
      <c r="S131" s="929"/>
      <c r="T131" s="929"/>
      <c r="U131" s="929"/>
      <c r="V131" s="929"/>
      <c r="W131" s="929"/>
      <c r="X131" s="929"/>
      <c r="Y131" s="929"/>
      <c r="Z131" s="929"/>
      <c r="AA131" s="929"/>
      <c r="AB131" s="929"/>
      <c r="AC131" s="929"/>
      <c r="AD131" s="929"/>
      <c r="AE131" s="929"/>
      <c r="AF131" s="929"/>
      <c r="AG131" s="929"/>
      <c r="AH131" s="929"/>
      <c r="AI131" s="929"/>
      <c r="AJ131" s="929"/>
      <c r="AK131" s="929"/>
      <c r="AL131" s="929"/>
      <c r="AM131" s="929"/>
      <c r="AN131" s="929"/>
      <c r="AO131" s="929"/>
      <c r="AP131" s="929"/>
      <c r="AQ131" s="929"/>
      <c r="AR131" s="929"/>
      <c r="AS131" s="929"/>
      <c r="AT131" s="929"/>
      <c r="AU131" s="929"/>
      <c r="AV131" s="929"/>
      <c r="AW131" s="929"/>
      <c r="AX131" s="929"/>
      <c r="AY131" s="929"/>
      <c r="AZ131" s="929"/>
    </row>
    <row r="132" spans="1:52" s="49" customFormat="1" ht="12.75" x14ac:dyDescent="0.2">
      <c r="A132" s="945"/>
      <c r="B132" s="924"/>
      <c r="C132" s="924"/>
      <c r="D132" s="927"/>
      <c r="E132" s="926"/>
      <c r="F132" s="927"/>
      <c r="G132" s="924"/>
      <c r="H132" s="927"/>
      <c r="I132" s="928"/>
      <c r="J132" s="924"/>
      <c r="K132" s="928"/>
      <c r="L132" s="928"/>
      <c r="M132" s="928"/>
      <c r="N132" s="925"/>
      <c r="O132" s="929"/>
      <c r="P132" s="929"/>
      <c r="Q132" s="922"/>
      <c r="R132" s="922"/>
      <c r="S132" s="929"/>
      <c r="T132" s="929"/>
      <c r="U132" s="929"/>
      <c r="V132" s="929"/>
      <c r="W132" s="929"/>
      <c r="X132" s="929"/>
      <c r="Y132" s="929"/>
      <c r="Z132" s="929"/>
      <c r="AA132" s="929"/>
      <c r="AB132" s="929"/>
      <c r="AC132" s="929"/>
      <c r="AD132" s="929"/>
      <c r="AE132" s="929"/>
      <c r="AF132" s="929"/>
      <c r="AG132" s="929"/>
      <c r="AH132" s="929"/>
      <c r="AI132" s="929"/>
      <c r="AJ132" s="929"/>
      <c r="AK132" s="929"/>
      <c r="AL132" s="929"/>
      <c r="AM132" s="929"/>
      <c r="AN132" s="929"/>
      <c r="AO132" s="929"/>
      <c r="AP132" s="929"/>
      <c r="AQ132" s="929"/>
      <c r="AR132" s="929"/>
      <c r="AS132" s="929"/>
      <c r="AT132" s="929"/>
      <c r="AU132" s="929"/>
      <c r="AV132" s="929"/>
      <c r="AW132" s="929"/>
      <c r="AX132" s="929"/>
      <c r="AY132" s="929"/>
      <c r="AZ132" s="929"/>
    </row>
    <row r="133" spans="1:52" s="49" customFormat="1" ht="12.75" x14ac:dyDescent="0.2">
      <c r="A133" s="945"/>
      <c r="B133" s="924"/>
      <c r="C133" s="924"/>
      <c r="D133" s="927"/>
      <c r="E133" s="926"/>
      <c r="F133" s="927"/>
      <c r="G133" s="924"/>
      <c r="H133" s="927"/>
      <c r="I133" s="928"/>
      <c r="J133" s="924"/>
      <c r="K133" s="928"/>
      <c r="L133" s="928"/>
      <c r="M133" s="928"/>
      <c r="N133" s="925"/>
      <c r="O133" s="929"/>
      <c r="P133" s="929"/>
      <c r="Q133" s="922"/>
      <c r="R133" s="922"/>
      <c r="S133" s="929"/>
      <c r="T133" s="929"/>
      <c r="U133" s="929"/>
      <c r="V133" s="929"/>
      <c r="W133" s="929"/>
      <c r="X133" s="929"/>
      <c r="Y133" s="929"/>
      <c r="Z133" s="929"/>
      <c r="AA133" s="929"/>
      <c r="AB133" s="929"/>
      <c r="AC133" s="929"/>
      <c r="AD133" s="929"/>
      <c r="AE133" s="929"/>
      <c r="AF133" s="929"/>
      <c r="AG133" s="929"/>
      <c r="AH133" s="929"/>
      <c r="AI133" s="929"/>
      <c r="AJ133" s="929"/>
      <c r="AK133" s="929"/>
      <c r="AL133" s="929"/>
      <c r="AM133" s="929"/>
      <c r="AN133" s="929"/>
      <c r="AO133" s="929"/>
      <c r="AP133" s="929"/>
      <c r="AQ133" s="929"/>
      <c r="AR133" s="929"/>
      <c r="AS133" s="929"/>
      <c r="AT133" s="929"/>
      <c r="AU133" s="929"/>
      <c r="AV133" s="929"/>
      <c r="AW133" s="929"/>
      <c r="AX133" s="929"/>
      <c r="AY133" s="929"/>
      <c r="AZ133" s="929"/>
    </row>
    <row r="134" spans="1:52" s="49" customFormat="1" ht="12.75" x14ac:dyDescent="0.2">
      <c r="A134" s="945"/>
      <c r="B134" s="924"/>
      <c r="C134" s="924"/>
      <c r="D134" s="927"/>
      <c r="E134" s="926"/>
      <c r="F134" s="927"/>
      <c r="G134" s="924"/>
      <c r="H134" s="927"/>
      <c r="I134" s="928"/>
      <c r="J134" s="924"/>
      <c r="K134" s="928"/>
      <c r="L134" s="928"/>
      <c r="M134" s="928"/>
      <c r="N134" s="925"/>
      <c r="O134" s="929"/>
      <c r="P134" s="929"/>
      <c r="Q134" s="922"/>
      <c r="R134" s="922"/>
      <c r="S134" s="929"/>
      <c r="T134" s="929"/>
      <c r="U134" s="929"/>
      <c r="V134" s="929"/>
      <c r="W134" s="929"/>
      <c r="X134" s="929"/>
      <c r="Y134" s="929"/>
      <c r="Z134" s="929"/>
      <c r="AA134" s="929"/>
      <c r="AB134" s="929"/>
      <c r="AC134" s="929"/>
      <c r="AD134" s="929"/>
      <c r="AE134" s="929"/>
      <c r="AF134" s="929"/>
      <c r="AG134" s="929"/>
      <c r="AH134" s="929"/>
      <c r="AI134" s="929"/>
      <c r="AJ134" s="929"/>
      <c r="AK134" s="929"/>
      <c r="AL134" s="929"/>
      <c r="AM134" s="929"/>
      <c r="AN134" s="929"/>
      <c r="AO134" s="929"/>
      <c r="AP134" s="929"/>
      <c r="AQ134" s="929"/>
      <c r="AR134" s="929"/>
      <c r="AS134" s="929"/>
      <c r="AT134" s="929"/>
      <c r="AU134" s="929"/>
      <c r="AV134" s="929"/>
      <c r="AW134" s="929"/>
      <c r="AX134" s="929"/>
      <c r="AY134" s="929"/>
      <c r="AZ134" s="929"/>
    </row>
    <row r="135" spans="1:52" s="49" customFormat="1" ht="12.75" x14ac:dyDescent="0.2">
      <c r="A135" s="945"/>
      <c r="B135" s="924"/>
      <c r="C135" s="924"/>
      <c r="D135" s="927"/>
      <c r="E135" s="926"/>
      <c r="F135" s="927"/>
      <c r="G135" s="924"/>
      <c r="H135" s="927"/>
      <c r="I135" s="928"/>
      <c r="J135" s="924"/>
      <c r="K135" s="928"/>
      <c r="L135" s="928"/>
      <c r="M135" s="928"/>
      <c r="N135" s="925"/>
      <c r="O135" s="929"/>
      <c r="P135" s="929"/>
      <c r="Q135" s="922"/>
      <c r="R135" s="922"/>
      <c r="S135" s="929"/>
      <c r="T135" s="929"/>
      <c r="U135" s="929"/>
      <c r="V135" s="929"/>
      <c r="W135" s="929"/>
      <c r="X135" s="929"/>
      <c r="Y135" s="929"/>
      <c r="Z135" s="929"/>
      <c r="AA135" s="929"/>
      <c r="AB135" s="929"/>
      <c r="AC135" s="929"/>
      <c r="AD135" s="929"/>
      <c r="AE135" s="929"/>
      <c r="AF135" s="929"/>
      <c r="AG135" s="929"/>
      <c r="AH135" s="929"/>
      <c r="AI135" s="929"/>
      <c r="AJ135" s="929"/>
      <c r="AK135" s="929"/>
      <c r="AL135" s="929"/>
      <c r="AM135" s="929"/>
      <c r="AN135" s="929"/>
      <c r="AO135" s="929"/>
      <c r="AP135" s="929"/>
      <c r="AQ135" s="929"/>
      <c r="AR135" s="929"/>
      <c r="AS135" s="929"/>
      <c r="AT135" s="929"/>
      <c r="AU135" s="929"/>
      <c r="AV135" s="929"/>
      <c r="AW135" s="929"/>
      <c r="AX135" s="929"/>
      <c r="AY135" s="929"/>
      <c r="AZ135" s="929"/>
    </row>
    <row r="136" spans="1:52" s="49" customFormat="1" ht="12.75" x14ac:dyDescent="0.2">
      <c r="A136" s="945"/>
      <c r="B136" s="924"/>
      <c r="C136" s="924"/>
      <c r="D136" s="927"/>
      <c r="E136" s="926"/>
      <c r="F136" s="927"/>
      <c r="G136" s="924"/>
      <c r="H136" s="927"/>
      <c r="I136" s="928"/>
      <c r="J136" s="924"/>
      <c r="K136" s="928"/>
      <c r="L136" s="928"/>
      <c r="M136" s="928"/>
      <c r="N136" s="925"/>
      <c r="O136" s="929"/>
      <c r="P136" s="929"/>
      <c r="Q136" s="922"/>
      <c r="R136" s="922"/>
      <c r="S136" s="929"/>
      <c r="T136" s="929"/>
      <c r="U136" s="929"/>
      <c r="V136" s="929"/>
      <c r="W136" s="929"/>
      <c r="X136" s="929"/>
      <c r="Y136" s="929"/>
      <c r="Z136" s="929"/>
      <c r="AA136" s="929"/>
      <c r="AB136" s="929"/>
      <c r="AC136" s="929"/>
      <c r="AD136" s="929"/>
      <c r="AE136" s="929"/>
      <c r="AF136" s="929"/>
      <c r="AG136" s="929"/>
      <c r="AH136" s="929"/>
      <c r="AI136" s="929"/>
      <c r="AJ136" s="929"/>
      <c r="AK136" s="929"/>
      <c r="AL136" s="929"/>
      <c r="AM136" s="929"/>
      <c r="AN136" s="929"/>
      <c r="AO136" s="929"/>
      <c r="AP136" s="929"/>
      <c r="AQ136" s="929"/>
      <c r="AR136" s="929"/>
      <c r="AS136" s="929"/>
      <c r="AT136" s="929"/>
      <c r="AU136" s="929"/>
      <c r="AV136" s="929"/>
      <c r="AW136" s="929"/>
      <c r="AX136" s="929"/>
      <c r="AY136" s="929"/>
      <c r="AZ136" s="929"/>
    </row>
    <row r="137" spans="1:52" s="49" customFormat="1" ht="12.75" x14ac:dyDescent="0.2">
      <c r="A137" s="945"/>
      <c r="B137" s="924"/>
      <c r="C137" s="924"/>
      <c r="D137" s="927"/>
      <c r="E137" s="926"/>
      <c r="F137" s="927"/>
      <c r="G137" s="924"/>
      <c r="H137" s="927"/>
      <c r="I137" s="928"/>
      <c r="J137" s="924"/>
      <c r="K137" s="928"/>
      <c r="L137" s="928"/>
      <c r="M137" s="928"/>
      <c r="N137" s="925"/>
      <c r="O137" s="929"/>
      <c r="P137" s="929"/>
      <c r="Q137" s="922"/>
      <c r="R137" s="922"/>
      <c r="S137" s="929"/>
      <c r="T137" s="929"/>
      <c r="U137" s="929"/>
      <c r="V137" s="929"/>
      <c r="W137" s="929"/>
      <c r="X137" s="929"/>
      <c r="Y137" s="929"/>
      <c r="Z137" s="929"/>
      <c r="AA137" s="929"/>
      <c r="AB137" s="929"/>
      <c r="AC137" s="929"/>
      <c r="AD137" s="929"/>
      <c r="AE137" s="929"/>
      <c r="AF137" s="929"/>
      <c r="AG137" s="929"/>
      <c r="AH137" s="929"/>
      <c r="AI137" s="929"/>
      <c r="AJ137" s="929"/>
      <c r="AK137" s="929"/>
      <c r="AL137" s="929"/>
      <c r="AM137" s="929"/>
      <c r="AN137" s="929"/>
      <c r="AO137" s="929"/>
      <c r="AP137" s="929"/>
      <c r="AQ137" s="929"/>
      <c r="AR137" s="929"/>
      <c r="AS137" s="929"/>
      <c r="AT137" s="929"/>
      <c r="AU137" s="929"/>
      <c r="AV137" s="929"/>
      <c r="AW137" s="929"/>
      <c r="AX137" s="929"/>
      <c r="AY137" s="929"/>
      <c r="AZ137" s="929"/>
    </row>
    <row r="138" spans="1:52" s="49" customFormat="1" ht="12.75" x14ac:dyDescent="0.2">
      <c r="A138" s="945"/>
      <c r="B138" s="924"/>
      <c r="C138" s="924"/>
      <c r="D138" s="927"/>
      <c r="E138" s="926"/>
      <c r="F138" s="927"/>
      <c r="G138" s="924"/>
      <c r="H138" s="927"/>
      <c r="I138" s="928"/>
      <c r="J138" s="924"/>
      <c r="K138" s="928"/>
      <c r="L138" s="928"/>
      <c r="M138" s="928"/>
      <c r="N138" s="925"/>
      <c r="O138" s="929"/>
      <c r="P138" s="929"/>
      <c r="Q138" s="922"/>
      <c r="R138" s="922"/>
      <c r="S138" s="929"/>
      <c r="T138" s="929"/>
      <c r="U138" s="929"/>
      <c r="V138" s="929"/>
      <c r="W138" s="929"/>
      <c r="X138" s="929"/>
      <c r="Y138" s="929"/>
      <c r="Z138" s="929"/>
      <c r="AA138" s="929"/>
      <c r="AB138" s="929"/>
      <c r="AC138" s="929"/>
      <c r="AD138" s="929"/>
      <c r="AE138" s="929"/>
      <c r="AF138" s="929"/>
      <c r="AG138" s="929"/>
      <c r="AH138" s="929"/>
      <c r="AI138" s="929"/>
      <c r="AJ138" s="929"/>
      <c r="AK138" s="929"/>
      <c r="AL138" s="929"/>
      <c r="AM138" s="929"/>
      <c r="AN138" s="929"/>
      <c r="AO138" s="929"/>
      <c r="AP138" s="929"/>
      <c r="AQ138" s="929"/>
      <c r="AR138" s="929"/>
      <c r="AS138" s="929"/>
      <c r="AT138" s="929"/>
      <c r="AU138" s="929"/>
      <c r="AV138" s="929"/>
      <c r="AW138" s="929"/>
      <c r="AX138" s="929"/>
      <c r="AY138" s="929"/>
      <c r="AZ138" s="929"/>
    </row>
    <row r="139" spans="1:52" s="49" customFormat="1" ht="12.75" x14ac:dyDescent="0.2">
      <c r="A139" s="945"/>
      <c r="B139" s="924"/>
      <c r="C139" s="924"/>
      <c r="D139" s="927"/>
      <c r="E139" s="926"/>
      <c r="F139" s="927"/>
      <c r="G139" s="924"/>
      <c r="H139" s="927"/>
      <c r="I139" s="928"/>
      <c r="J139" s="924"/>
      <c r="K139" s="928"/>
      <c r="L139" s="928"/>
      <c r="M139" s="928"/>
      <c r="N139" s="925"/>
      <c r="O139" s="929"/>
      <c r="P139" s="929"/>
      <c r="Q139" s="922"/>
      <c r="R139" s="922"/>
      <c r="S139" s="929"/>
      <c r="T139" s="929"/>
      <c r="U139" s="929"/>
      <c r="V139" s="929"/>
      <c r="W139" s="929"/>
      <c r="X139" s="929"/>
      <c r="Y139" s="929"/>
      <c r="Z139" s="929"/>
      <c r="AA139" s="929"/>
      <c r="AB139" s="929"/>
      <c r="AC139" s="929"/>
      <c r="AD139" s="929"/>
      <c r="AE139" s="929"/>
      <c r="AF139" s="929"/>
      <c r="AG139" s="929"/>
      <c r="AH139" s="929"/>
      <c r="AI139" s="929"/>
      <c r="AJ139" s="929"/>
      <c r="AK139" s="929"/>
      <c r="AL139" s="929"/>
      <c r="AM139" s="929"/>
      <c r="AN139" s="929"/>
      <c r="AO139" s="929"/>
      <c r="AP139" s="929"/>
      <c r="AQ139" s="929"/>
      <c r="AR139" s="929"/>
      <c r="AS139" s="929"/>
      <c r="AT139" s="929"/>
      <c r="AU139" s="929"/>
      <c r="AV139" s="929"/>
      <c r="AW139" s="929"/>
      <c r="AX139" s="929"/>
      <c r="AY139" s="929"/>
      <c r="AZ139" s="929"/>
    </row>
    <row r="140" spans="1:52" s="49" customFormat="1" ht="12.75" x14ac:dyDescent="0.2">
      <c r="A140" s="945"/>
      <c r="B140" s="924"/>
      <c r="C140" s="924"/>
      <c r="D140" s="927"/>
      <c r="E140" s="926"/>
      <c r="F140" s="927"/>
      <c r="G140" s="924"/>
      <c r="H140" s="927"/>
      <c r="I140" s="928"/>
      <c r="J140" s="924"/>
      <c r="K140" s="928"/>
      <c r="L140" s="928"/>
      <c r="M140" s="928"/>
      <c r="N140" s="925"/>
      <c r="O140" s="929"/>
      <c r="P140" s="929"/>
      <c r="Q140" s="922"/>
      <c r="R140" s="922"/>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29"/>
      <c r="AN140" s="929"/>
      <c r="AO140" s="929"/>
      <c r="AP140" s="929"/>
      <c r="AQ140" s="929"/>
      <c r="AR140" s="929"/>
      <c r="AS140" s="929"/>
      <c r="AT140" s="929"/>
      <c r="AU140" s="929"/>
      <c r="AV140" s="929"/>
      <c r="AW140" s="929"/>
      <c r="AX140" s="929"/>
      <c r="AY140" s="929"/>
      <c r="AZ140" s="929"/>
    </row>
    <row r="141" spans="1:52" s="49" customFormat="1" ht="12.75" x14ac:dyDescent="0.2">
      <c r="A141" s="945"/>
      <c r="B141" s="924"/>
      <c r="C141" s="924"/>
      <c r="D141" s="927"/>
      <c r="E141" s="926"/>
      <c r="F141" s="927"/>
      <c r="G141" s="924"/>
      <c r="H141" s="927"/>
      <c r="I141" s="928"/>
      <c r="J141" s="924"/>
      <c r="K141" s="928"/>
      <c r="L141" s="928"/>
      <c r="M141" s="928"/>
      <c r="N141" s="925"/>
      <c r="O141" s="929"/>
      <c r="P141" s="929"/>
      <c r="Q141" s="922"/>
      <c r="R141" s="922"/>
      <c r="S141" s="929"/>
      <c r="T141" s="929"/>
      <c r="U141" s="929"/>
      <c r="V141" s="929"/>
      <c r="W141" s="929"/>
      <c r="X141" s="929"/>
      <c r="Y141" s="929"/>
      <c r="Z141" s="929"/>
      <c r="AA141" s="929"/>
      <c r="AB141" s="929"/>
      <c r="AC141" s="929"/>
      <c r="AD141" s="929"/>
      <c r="AE141" s="929"/>
      <c r="AF141" s="929"/>
      <c r="AG141" s="929"/>
      <c r="AH141" s="929"/>
      <c r="AI141" s="929"/>
      <c r="AJ141" s="929"/>
      <c r="AK141" s="929"/>
      <c r="AL141" s="929"/>
      <c r="AM141" s="929"/>
      <c r="AN141" s="929"/>
      <c r="AO141" s="929"/>
      <c r="AP141" s="929"/>
      <c r="AQ141" s="929"/>
      <c r="AR141" s="929"/>
      <c r="AS141" s="929"/>
      <c r="AT141" s="929"/>
      <c r="AU141" s="929"/>
      <c r="AV141" s="929"/>
      <c r="AW141" s="929"/>
      <c r="AX141" s="929"/>
      <c r="AY141" s="929"/>
      <c r="AZ141" s="929"/>
    </row>
    <row r="142" spans="1:52" s="49" customFormat="1" ht="12.75" x14ac:dyDescent="0.2">
      <c r="A142" s="945"/>
      <c r="B142" s="924"/>
      <c r="C142" s="924"/>
      <c r="D142" s="927"/>
      <c r="E142" s="926"/>
      <c r="F142" s="927"/>
      <c r="G142" s="924"/>
      <c r="H142" s="927"/>
      <c r="I142" s="928"/>
      <c r="J142" s="924"/>
      <c r="K142" s="928"/>
      <c r="L142" s="928"/>
      <c r="M142" s="928"/>
      <c r="N142" s="925"/>
      <c r="O142" s="929"/>
      <c r="P142" s="929"/>
      <c r="Q142" s="922"/>
      <c r="R142" s="922"/>
      <c r="S142" s="929"/>
      <c r="T142" s="929"/>
      <c r="U142" s="929"/>
      <c r="V142" s="929"/>
      <c r="W142" s="929"/>
      <c r="X142" s="929"/>
      <c r="Y142" s="929"/>
      <c r="Z142" s="929"/>
      <c r="AA142" s="929"/>
      <c r="AB142" s="929"/>
      <c r="AC142" s="929"/>
      <c r="AD142" s="929"/>
      <c r="AE142" s="929"/>
      <c r="AF142" s="929"/>
      <c r="AG142" s="929"/>
      <c r="AH142" s="929"/>
      <c r="AI142" s="929"/>
      <c r="AJ142" s="929"/>
      <c r="AK142" s="929"/>
      <c r="AL142" s="929"/>
      <c r="AM142" s="929"/>
      <c r="AN142" s="929"/>
      <c r="AO142" s="929"/>
      <c r="AP142" s="929"/>
      <c r="AQ142" s="929"/>
      <c r="AR142" s="929"/>
      <c r="AS142" s="929"/>
      <c r="AT142" s="929"/>
      <c r="AU142" s="929"/>
      <c r="AV142" s="929"/>
      <c r="AW142" s="929"/>
      <c r="AX142" s="929"/>
      <c r="AY142" s="929"/>
      <c r="AZ142" s="929"/>
    </row>
    <row r="143" spans="1:52" s="49" customFormat="1" ht="12.75" x14ac:dyDescent="0.2">
      <c r="A143" s="945"/>
      <c r="B143" s="924"/>
      <c r="C143" s="924"/>
      <c r="D143" s="927"/>
      <c r="E143" s="926"/>
      <c r="F143" s="927"/>
      <c r="G143" s="924"/>
      <c r="H143" s="927"/>
      <c r="I143" s="928"/>
      <c r="J143" s="924"/>
      <c r="K143" s="928"/>
      <c r="L143" s="928"/>
      <c r="M143" s="928"/>
      <c r="N143" s="925"/>
      <c r="O143" s="929"/>
      <c r="P143" s="929"/>
      <c r="Q143" s="922"/>
      <c r="R143" s="922"/>
      <c r="S143" s="929"/>
      <c r="T143" s="929"/>
      <c r="U143" s="929"/>
      <c r="V143" s="929"/>
      <c r="W143" s="929"/>
      <c r="X143" s="929"/>
      <c r="Y143" s="929"/>
      <c r="Z143" s="929"/>
      <c r="AA143" s="929"/>
      <c r="AB143" s="929"/>
      <c r="AC143" s="929"/>
      <c r="AD143" s="929"/>
      <c r="AE143" s="929"/>
      <c r="AF143" s="929"/>
      <c r="AG143" s="929"/>
      <c r="AH143" s="929"/>
      <c r="AI143" s="929"/>
      <c r="AJ143" s="929"/>
      <c r="AK143" s="929"/>
      <c r="AL143" s="929"/>
      <c r="AM143" s="929"/>
      <c r="AN143" s="929"/>
      <c r="AO143" s="929"/>
      <c r="AP143" s="929"/>
      <c r="AQ143" s="929"/>
      <c r="AR143" s="929"/>
      <c r="AS143" s="929"/>
      <c r="AT143" s="929"/>
      <c r="AU143" s="929"/>
      <c r="AV143" s="929"/>
      <c r="AW143" s="929"/>
      <c r="AX143" s="929"/>
      <c r="AY143" s="929"/>
      <c r="AZ143" s="929"/>
    </row>
    <row r="144" spans="1:52" s="49" customFormat="1" ht="12.75" x14ac:dyDescent="0.2">
      <c r="A144" s="945"/>
      <c r="B144" s="924"/>
      <c r="C144" s="924"/>
      <c r="D144" s="927"/>
      <c r="E144" s="926"/>
      <c r="F144" s="927"/>
      <c r="G144" s="924"/>
      <c r="H144" s="927"/>
      <c r="I144" s="928"/>
      <c r="J144" s="924"/>
      <c r="K144" s="928"/>
      <c r="L144" s="928"/>
      <c r="M144" s="928"/>
      <c r="N144" s="925"/>
      <c r="O144" s="929"/>
      <c r="P144" s="929"/>
      <c r="Q144" s="922"/>
      <c r="R144" s="922"/>
      <c r="S144" s="929"/>
      <c r="T144" s="929"/>
      <c r="U144" s="929"/>
      <c r="V144" s="929"/>
      <c r="W144" s="929"/>
      <c r="X144" s="929"/>
      <c r="Y144" s="929"/>
      <c r="Z144" s="929"/>
      <c r="AA144" s="929"/>
      <c r="AB144" s="929"/>
      <c r="AC144" s="929"/>
      <c r="AD144" s="929"/>
      <c r="AE144" s="929"/>
      <c r="AF144" s="929"/>
      <c r="AG144" s="929"/>
      <c r="AH144" s="929"/>
      <c r="AI144" s="929"/>
      <c r="AJ144" s="929"/>
      <c r="AK144" s="929"/>
      <c r="AL144" s="929"/>
      <c r="AM144" s="929"/>
      <c r="AN144" s="929"/>
      <c r="AO144" s="929"/>
      <c r="AP144" s="929"/>
      <c r="AQ144" s="929"/>
      <c r="AR144" s="929"/>
      <c r="AS144" s="929"/>
      <c r="AT144" s="929"/>
      <c r="AU144" s="929"/>
      <c r="AV144" s="929"/>
      <c r="AW144" s="929"/>
      <c r="AX144" s="929"/>
      <c r="AY144" s="929"/>
      <c r="AZ144" s="929"/>
    </row>
    <row r="145" spans="1:52" s="49" customFormat="1" ht="12.75" x14ac:dyDescent="0.2">
      <c r="A145" s="945"/>
      <c r="B145" s="924"/>
      <c r="C145" s="924"/>
      <c r="D145" s="927"/>
      <c r="E145" s="926"/>
      <c r="F145" s="927"/>
      <c r="G145" s="924"/>
      <c r="H145" s="927"/>
      <c r="I145" s="928"/>
      <c r="J145" s="924"/>
      <c r="K145" s="928"/>
      <c r="L145" s="928"/>
      <c r="M145" s="928"/>
      <c r="N145" s="925"/>
      <c r="O145" s="929"/>
      <c r="P145" s="929"/>
      <c r="Q145" s="922"/>
      <c r="R145" s="922"/>
      <c r="S145" s="929"/>
      <c r="T145" s="929"/>
      <c r="U145" s="929"/>
      <c r="V145" s="929"/>
      <c r="W145" s="929"/>
      <c r="X145" s="929"/>
      <c r="Y145" s="929"/>
      <c r="Z145" s="929"/>
      <c r="AA145" s="929"/>
      <c r="AB145" s="929"/>
      <c r="AC145" s="929"/>
      <c r="AD145" s="929"/>
      <c r="AE145" s="929"/>
      <c r="AF145" s="929"/>
      <c r="AG145" s="929"/>
      <c r="AH145" s="929"/>
      <c r="AI145" s="929"/>
      <c r="AJ145" s="929"/>
      <c r="AK145" s="929"/>
      <c r="AL145" s="929"/>
      <c r="AM145" s="929"/>
      <c r="AN145" s="929"/>
      <c r="AO145" s="929"/>
      <c r="AP145" s="929"/>
      <c r="AQ145" s="929"/>
      <c r="AR145" s="929"/>
      <c r="AS145" s="929"/>
      <c r="AT145" s="929"/>
      <c r="AU145" s="929"/>
      <c r="AV145" s="929"/>
      <c r="AW145" s="929"/>
      <c r="AX145" s="929"/>
      <c r="AY145" s="929"/>
      <c r="AZ145" s="929"/>
    </row>
    <row r="146" spans="1:52" s="49" customFormat="1" ht="12.75" x14ac:dyDescent="0.2">
      <c r="A146" s="945"/>
      <c r="B146" s="924"/>
      <c r="C146" s="924"/>
      <c r="D146" s="927"/>
      <c r="E146" s="926"/>
      <c r="F146" s="927"/>
      <c r="G146" s="924"/>
      <c r="H146" s="927"/>
      <c r="I146" s="928"/>
      <c r="J146" s="924"/>
      <c r="K146" s="928"/>
      <c r="L146" s="928"/>
      <c r="M146" s="928"/>
      <c r="N146" s="925"/>
      <c r="O146" s="929"/>
      <c r="P146" s="929"/>
      <c r="Q146" s="922"/>
      <c r="R146" s="922"/>
      <c r="S146" s="929"/>
      <c r="T146" s="929"/>
      <c r="U146" s="929"/>
      <c r="V146" s="929"/>
      <c r="W146" s="929"/>
      <c r="X146" s="929"/>
      <c r="Y146" s="929"/>
      <c r="Z146" s="929"/>
      <c r="AA146" s="929"/>
      <c r="AB146" s="929"/>
      <c r="AC146" s="929"/>
      <c r="AD146" s="929"/>
      <c r="AE146" s="929"/>
      <c r="AF146" s="929"/>
      <c r="AG146" s="929"/>
      <c r="AH146" s="929"/>
      <c r="AI146" s="929"/>
      <c r="AJ146" s="929"/>
      <c r="AK146" s="929"/>
      <c r="AL146" s="929"/>
      <c r="AM146" s="929"/>
      <c r="AN146" s="929"/>
      <c r="AO146" s="929"/>
      <c r="AP146" s="929"/>
      <c r="AQ146" s="929"/>
      <c r="AR146" s="929"/>
      <c r="AS146" s="929"/>
      <c r="AT146" s="929"/>
      <c r="AU146" s="929"/>
      <c r="AV146" s="929"/>
      <c r="AW146" s="929"/>
      <c r="AX146" s="929"/>
      <c r="AY146" s="929"/>
      <c r="AZ146" s="929"/>
    </row>
    <row r="147" spans="1:52" s="49" customFormat="1" ht="12.75" x14ac:dyDescent="0.2">
      <c r="A147" s="945"/>
      <c r="B147" s="924"/>
      <c r="C147" s="924"/>
      <c r="D147" s="927"/>
      <c r="E147" s="926"/>
      <c r="F147" s="927"/>
      <c r="G147" s="924"/>
      <c r="H147" s="927"/>
      <c r="I147" s="928"/>
      <c r="J147" s="924"/>
      <c r="K147" s="928"/>
      <c r="L147" s="928"/>
      <c r="M147" s="928"/>
      <c r="N147" s="925"/>
      <c r="O147" s="929"/>
      <c r="P147" s="929"/>
      <c r="Q147" s="922"/>
      <c r="R147" s="922"/>
      <c r="S147" s="929"/>
      <c r="T147" s="929"/>
      <c r="U147" s="929"/>
      <c r="V147" s="929"/>
      <c r="W147" s="929"/>
      <c r="X147" s="929"/>
      <c r="Y147" s="929"/>
      <c r="Z147" s="929"/>
      <c r="AA147" s="929"/>
      <c r="AB147" s="929"/>
      <c r="AC147" s="929"/>
      <c r="AD147" s="929"/>
      <c r="AE147" s="929"/>
      <c r="AF147" s="929"/>
      <c r="AG147" s="929"/>
      <c r="AH147" s="929"/>
      <c r="AI147" s="929"/>
      <c r="AJ147" s="929"/>
      <c r="AK147" s="929"/>
      <c r="AL147" s="929"/>
      <c r="AM147" s="929"/>
      <c r="AN147" s="929"/>
      <c r="AO147" s="929"/>
      <c r="AP147" s="929"/>
      <c r="AQ147" s="929"/>
      <c r="AR147" s="929"/>
      <c r="AS147" s="929"/>
      <c r="AT147" s="929"/>
      <c r="AU147" s="929"/>
      <c r="AV147" s="929"/>
      <c r="AW147" s="929"/>
      <c r="AX147" s="929"/>
      <c r="AY147" s="929"/>
      <c r="AZ147" s="929"/>
    </row>
    <row r="148" spans="1:52" s="49" customFormat="1" ht="12.75" x14ac:dyDescent="0.2">
      <c r="A148" s="945"/>
      <c r="B148" s="924"/>
      <c r="C148" s="924"/>
      <c r="D148" s="927"/>
      <c r="E148" s="926"/>
      <c r="F148" s="927"/>
      <c r="G148" s="924"/>
      <c r="H148" s="927"/>
      <c r="I148" s="928"/>
      <c r="J148" s="924"/>
      <c r="K148" s="928"/>
      <c r="L148" s="928"/>
      <c r="M148" s="928"/>
      <c r="N148" s="925"/>
      <c r="O148" s="929"/>
      <c r="P148" s="929"/>
      <c r="Q148" s="922"/>
      <c r="R148" s="922"/>
      <c r="S148" s="929"/>
      <c r="T148" s="929"/>
      <c r="U148" s="929"/>
      <c r="V148" s="929"/>
      <c r="W148" s="929"/>
      <c r="X148" s="929"/>
      <c r="Y148" s="929"/>
      <c r="Z148" s="929"/>
      <c r="AA148" s="929"/>
      <c r="AB148" s="929"/>
      <c r="AC148" s="929"/>
      <c r="AD148" s="929"/>
      <c r="AE148" s="929"/>
      <c r="AF148" s="929"/>
      <c r="AG148" s="929"/>
      <c r="AH148" s="929"/>
      <c r="AI148" s="929"/>
      <c r="AJ148" s="929"/>
      <c r="AK148" s="929"/>
      <c r="AL148" s="929"/>
      <c r="AM148" s="929"/>
      <c r="AN148" s="929"/>
      <c r="AO148" s="929"/>
      <c r="AP148" s="929"/>
      <c r="AQ148" s="929"/>
      <c r="AR148" s="929"/>
      <c r="AS148" s="929"/>
      <c r="AT148" s="929"/>
      <c r="AU148" s="929"/>
      <c r="AV148" s="929"/>
      <c r="AW148" s="929"/>
      <c r="AX148" s="929"/>
      <c r="AY148" s="929"/>
      <c r="AZ148" s="929"/>
    </row>
    <row r="149" spans="1:52" s="49" customFormat="1" ht="12.75" x14ac:dyDescent="0.2">
      <c r="A149" s="945"/>
      <c r="B149" s="924"/>
      <c r="C149" s="924"/>
      <c r="D149" s="927"/>
      <c r="E149" s="926"/>
      <c r="F149" s="927"/>
      <c r="G149" s="924"/>
      <c r="H149" s="927"/>
      <c r="I149" s="928"/>
      <c r="J149" s="924"/>
      <c r="K149" s="928"/>
      <c r="L149" s="928"/>
      <c r="M149" s="928"/>
      <c r="N149" s="925"/>
      <c r="O149" s="929"/>
      <c r="P149" s="929"/>
      <c r="Q149" s="922"/>
      <c r="R149" s="922"/>
      <c r="S149" s="929"/>
      <c r="T149" s="929"/>
      <c r="U149" s="929"/>
      <c r="V149" s="929"/>
      <c r="W149" s="929"/>
      <c r="X149" s="929"/>
      <c r="Y149" s="929"/>
      <c r="Z149" s="929"/>
      <c r="AA149" s="929"/>
      <c r="AB149" s="929"/>
      <c r="AC149" s="929"/>
      <c r="AD149" s="929"/>
      <c r="AE149" s="929"/>
      <c r="AF149" s="929"/>
      <c r="AG149" s="929"/>
      <c r="AH149" s="929"/>
      <c r="AI149" s="929"/>
      <c r="AJ149" s="929"/>
      <c r="AK149" s="929"/>
      <c r="AL149" s="929"/>
      <c r="AM149" s="929"/>
      <c r="AN149" s="929"/>
      <c r="AO149" s="929"/>
      <c r="AP149" s="929"/>
      <c r="AQ149" s="929"/>
      <c r="AR149" s="929"/>
      <c r="AS149" s="929"/>
      <c r="AT149" s="929"/>
      <c r="AU149" s="929"/>
      <c r="AV149" s="929"/>
      <c r="AW149" s="929"/>
      <c r="AX149" s="929"/>
      <c r="AY149" s="929"/>
      <c r="AZ149" s="929"/>
    </row>
    <row r="150" spans="1:52" s="49" customFormat="1" ht="12.75" x14ac:dyDescent="0.2">
      <c r="A150" s="945"/>
      <c r="B150" s="924"/>
      <c r="C150" s="924"/>
      <c r="D150" s="927"/>
      <c r="E150" s="926"/>
      <c r="F150" s="927"/>
      <c r="G150" s="924"/>
      <c r="H150" s="927"/>
      <c r="I150" s="928"/>
      <c r="J150" s="924"/>
      <c r="K150" s="928"/>
      <c r="L150" s="928"/>
      <c r="M150" s="928"/>
      <c r="N150" s="925"/>
      <c r="O150" s="929"/>
      <c r="P150" s="929"/>
      <c r="Q150" s="922"/>
      <c r="R150" s="922"/>
      <c r="S150" s="929"/>
      <c r="T150" s="929"/>
      <c r="U150" s="929"/>
      <c r="V150" s="929"/>
      <c r="W150" s="929"/>
      <c r="X150" s="929"/>
      <c r="Y150" s="929"/>
      <c r="Z150" s="929"/>
      <c r="AA150" s="929"/>
      <c r="AB150" s="929"/>
      <c r="AC150" s="929"/>
      <c r="AD150" s="929"/>
      <c r="AE150" s="929"/>
      <c r="AF150" s="929"/>
      <c r="AG150" s="929"/>
      <c r="AH150" s="929"/>
      <c r="AI150" s="929"/>
      <c r="AJ150" s="929"/>
      <c r="AK150" s="929"/>
      <c r="AL150" s="929"/>
      <c r="AM150" s="929"/>
      <c r="AN150" s="929"/>
      <c r="AO150" s="929"/>
      <c r="AP150" s="929"/>
      <c r="AQ150" s="929"/>
      <c r="AR150" s="929"/>
      <c r="AS150" s="929"/>
      <c r="AT150" s="929"/>
      <c r="AU150" s="929"/>
      <c r="AV150" s="929"/>
      <c r="AW150" s="929"/>
      <c r="AX150" s="929"/>
      <c r="AY150" s="929"/>
      <c r="AZ150" s="929"/>
    </row>
    <row r="151" spans="1:52" s="49" customFormat="1" ht="12.75" x14ac:dyDescent="0.2">
      <c r="A151" s="945"/>
      <c r="B151" s="924"/>
      <c r="C151" s="924"/>
      <c r="D151" s="927"/>
      <c r="E151" s="926"/>
      <c r="F151" s="927"/>
      <c r="G151" s="924"/>
      <c r="H151" s="927"/>
      <c r="I151" s="928"/>
      <c r="J151" s="924"/>
      <c r="K151" s="928"/>
      <c r="L151" s="928"/>
      <c r="M151" s="928"/>
      <c r="N151" s="925"/>
      <c r="O151" s="929"/>
      <c r="P151" s="929"/>
      <c r="Q151" s="922"/>
      <c r="R151" s="922"/>
      <c r="S151" s="929"/>
      <c r="T151" s="929"/>
      <c r="U151" s="929"/>
      <c r="V151" s="929"/>
      <c r="W151" s="929"/>
      <c r="X151" s="929"/>
      <c r="Y151" s="929"/>
      <c r="Z151" s="929"/>
      <c r="AA151" s="929"/>
      <c r="AB151" s="929"/>
      <c r="AC151" s="929"/>
      <c r="AD151" s="929"/>
      <c r="AE151" s="929"/>
      <c r="AF151" s="929"/>
      <c r="AG151" s="929"/>
      <c r="AH151" s="929"/>
      <c r="AI151" s="929"/>
      <c r="AJ151" s="929"/>
      <c r="AK151" s="929"/>
      <c r="AL151" s="929"/>
      <c r="AM151" s="929"/>
      <c r="AN151" s="929"/>
      <c r="AO151" s="929"/>
      <c r="AP151" s="929"/>
      <c r="AQ151" s="929"/>
      <c r="AR151" s="929"/>
      <c r="AS151" s="929"/>
      <c r="AT151" s="929"/>
      <c r="AU151" s="929"/>
      <c r="AV151" s="929"/>
      <c r="AW151" s="929"/>
      <c r="AX151" s="929"/>
      <c r="AY151" s="929"/>
      <c r="AZ151" s="929"/>
    </row>
    <row r="152" spans="1:52" s="49" customFormat="1" ht="12.75" x14ac:dyDescent="0.2">
      <c r="A152" s="945"/>
      <c r="B152" s="924"/>
      <c r="C152" s="924"/>
      <c r="D152" s="927"/>
      <c r="E152" s="926"/>
      <c r="F152" s="927"/>
      <c r="G152" s="924"/>
      <c r="H152" s="927"/>
      <c r="I152" s="928"/>
      <c r="J152" s="924"/>
      <c r="K152" s="928"/>
      <c r="L152" s="928"/>
      <c r="M152" s="928"/>
      <c r="N152" s="925"/>
      <c r="O152" s="929"/>
      <c r="P152" s="929"/>
      <c r="Q152" s="922"/>
      <c r="R152" s="922"/>
      <c r="S152" s="929"/>
      <c r="T152" s="929"/>
      <c r="U152" s="929"/>
      <c r="V152" s="929"/>
      <c r="W152" s="929"/>
      <c r="X152" s="929"/>
      <c r="Y152" s="929"/>
      <c r="Z152" s="929"/>
      <c r="AA152" s="929"/>
      <c r="AB152" s="929"/>
      <c r="AC152" s="929"/>
      <c r="AD152" s="929"/>
      <c r="AE152" s="929"/>
      <c r="AF152" s="929"/>
      <c r="AG152" s="929"/>
      <c r="AH152" s="929"/>
      <c r="AI152" s="929"/>
      <c r="AJ152" s="929"/>
      <c r="AK152" s="929"/>
      <c r="AL152" s="929"/>
      <c r="AM152" s="929"/>
      <c r="AN152" s="929"/>
      <c r="AO152" s="929"/>
      <c r="AP152" s="929"/>
      <c r="AQ152" s="929"/>
      <c r="AR152" s="929"/>
      <c r="AS152" s="929"/>
      <c r="AT152" s="929"/>
      <c r="AU152" s="929"/>
      <c r="AV152" s="929"/>
      <c r="AW152" s="929"/>
      <c r="AX152" s="929"/>
      <c r="AY152" s="929"/>
      <c r="AZ152" s="929"/>
    </row>
    <row r="153" spans="1:52" s="49" customFormat="1" ht="12.75" x14ac:dyDescent="0.2">
      <c r="A153" s="53"/>
      <c r="D153" s="54"/>
      <c r="E153" s="55"/>
      <c r="F153" s="56"/>
      <c r="H153" s="56"/>
      <c r="I153" s="100"/>
      <c r="K153" s="100"/>
      <c r="L153" s="100"/>
      <c r="M153" s="100"/>
      <c r="N153" s="54"/>
      <c r="Q153" s="107"/>
      <c r="R153" s="107"/>
    </row>
    <row r="154" spans="1:52" s="49" customFormat="1" ht="12.75" x14ac:dyDescent="0.2">
      <c r="A154" s="53"/>
      <c r="D154" s="54"/>
      <c r="E154" s="55"/>
      <c r="F154" s="56"/>
      <c r="H154" s="56"/>
      <c r="I154" s="100"/>
      <c r="K154" s="100"/>
      <c r="L154" s="100"/>
      <c r="M154" s="100"/>
      <c r="N154" s="54"/>
      <c r="Q154" s="107"/>
      <c r="R154" s="107"/>
    </row>
    <row r="155" spans="1:52" s="49" customFormat="1" ht="12.75" x14ac:dyDescent="0.2">
      <c r="A155" s="53"/>
      <c r="D155" s="54"/>
      <c r="E155" s="55"/>
      <c r="F155" s="56"/>
      <c r="H155" s="56"/>
      <c r="I155" s="100"/>
      <c r="K155" s="100"/>
      <c r="L155" s="100"/>
      <c r="M155" s="100"/>
      <c r="N155" s="54"/>
      <c r="Q155" s="107"/>
      <c r="R155" s="107"/>
    </row>
    <row r="156" spans="1:52" s="49" customFormat="1" ht="12.75" x14ac:dyDescent="0.2">
      <c r="A156" s="53"/>
      <c r="D156" s="54"/>
      <c r="E156" s="55"/>
      <c r="F156" s="56"/>
      <c r="H156" s="56"/>
      <c r="I156" s="100"/>
      <c r="K156" s="100"/>
      <c r="L156" s="100"/>
      <c r="M156" s="100"/>
      <c r="N156" s="54"/>
      <c r="Q156" s="107"/>
      <c r="R156" s="107"/>
    </row>
    <row r="157" spans="1:52" s="49" customFormat="1" ht="12.75" x14ac:dyDescent="0.2">
      <c r="A157" s="53"/>
      <c r="D157" s="54"/>
      <c r="E157" s="55"/>
      <c r="F157" s="56"/>
      <c r="H157" s="56"/>
      <c r="I157" s="100"/>
      <c r="K157" s="100"/>
      <c r="L157" s="100"/>
      <c r="M157" s="100"/>
      <c r="N157" s="54"/>
      <c r="Q157" s="107"/>
      <c r="R157" s="107"/>
    </row>
    <row r="158" spans="1:52" s="49" customFormat="1" ht="12.75" x14ac:dyDescent="0.2">
      <c r="A158" s="53"/>
      <c r="D158" s="54"/>
      <c r="E158" s="55"/>
      <c r="F158" s="56"/>
      <c r="H158" s="56"/>
      <c r="I158" s="100"/>
      <c r="K158" s="100"/>
      <c r="L158" s="100"/>
      <c r="M158" s="100"/>
      <c r="N158" s="54"/>
      <c r="Q158" s="107"/>
      <c r="R158" s="107"/>
    </row>
    <row r="159" spans="1:52" s="49" customFormat="1" ht="12.75" x14ac:dyDescent="0.2">
      <c r="A159" s="53"/>
      <c r="D159" s="54"/>
      <c r="E159" s="55"/>
      <c r="F159" s="56"/>
      <c r="H159" s="56"/>
      <c r="I159" s="100"/>
      <c r="K159" s="100"/>
      <c r="L159" s="100"/>
      <c r="M159" s="100"/>
      <c r="N159" s="54"/>
      <c r="Q159" s="107"/>
      <c r="R159" s="107"/>
    </row>
    <row r="160" spans="1:52" s="49" customFormat="1" ht="12.75" x14ac:dyDescent="0.2">
      <c r="A160" s="53"/>
      <c r="D160" s="54"/>
      <c r="E160" s="55"/>
      <c r="F160" s="56"/>
      <c r="H160" s="56"/>
      <c r="I160" s="100"/>
      <c r="K160" s="100"/>
      <c r="L160" s="100"/>
      <c r="M160" s="100"/>
      <c r="N160" s="54"/>
      <c r="Q160" s="107"/>
      <c r="R160" s="107"/>
    </row>
    <row r="161" spans="1:18" s="49" customFormat="1" ht="12.75" x14ac:dyDescent="0.2">
      <c r="A161" s="53"/>
      <c r="D161" s="54"/>
      <c r="E161" s="55"/>
      <c r="F161" s="56"/>
      <c r="H161" s="56"/>
      <c r="I161" s="100"/>
      <c r="K161" s="100"/>
      <c r="L161" s="100"/>
      <c r="M161" s="100"/>
      <c r="N161" s="54"/>
      <c r="Q161" s="107"/>
      <c r="R161" s="107"/>
    </row>
    <row r="162" spans="1:18" s="49" customFormat="1" ht="12.75" x14ac:dyDescent="0.2">
      <c r="A162" s="53"/>
      <c r="D162" s="54"/>
      <c r="E162" s="55"/>
      <c r="F162" s="56"/>
      <c r="H162" s="56"/>
      <c r="I162" s="100"/>
      <c r="K162" s="100"/>
      <c r="L162" s="100"/>
      <c r="M162" s="100"/>
      <c r="N162" s="54"/>
      <c r="Q162" s="107"/>
      <c r="R162" s="107"/>
    </row>
    <row r="163" spans="1:18" s="49" customFormat="1" ht="12.75" x14ac:dyDescent="0.2">
      <c r="A163" s="53"/>
      <c r="D163" s="54"/>
      <c r="E163" s="55"/>
      <c r="F163" s="56"/>
      <c r="H163" s="56"/>
      <c r="I163" s="100"/>
      <c r="K163" s="100"/>
      <c r="L163" s="100"/>
      <c r="M163" s="100"/>
      <c r="N163" s="54"/>
      <c r="Q163" s="107"/>
      <c r="R163" s="107"/>
    </row>
    <row r="164" spans="1:18" s="49" customFormat="1" ht="12.75" x14ac:dyDescent="0.2">
      <c r="A164" s="53"/>
      <c r="D164" s="54"/>
      <c r="E164" s="55"/>
      <c r="F164" s="56"/>
      <c r="H164" s="56"/>
      <c r="I164" s="100"/>
      <c r="K164" s="100"/>
      <c r="L164" s="100"/>
      <c r="M164" s="100"/>
      <c r="N164" s="54"/>
      <c r="Q164" s="107"/>
      <c r="R164" s="107"/>
    </row>
    <row r="165" spans="1:18" s="49" customFormat="1" ht="12.75" x14ac:dyDescent="0.2">
      <c r="A165" s="53"/>
      <c r="D165" s="54"/>
      <c r="E165" s="55"/>
      <c r="F165" s="56"/>
      <c r="H165" s="56"/>
      <c r="I165" s="100"/>
      <c r="K165" s="100"/>
      <c r="L165" s="100"/>
      <c r="M165" s="100"/>
      <c r="N165" s="54"/>
      <c r="Q165" s="107"/>
      <c r="R165" s="107"/>
    </row>
    <row r="166" spans="1:18" s="49" customFormat="1" ht="12.75" x14ac:dyDescent="0.2">
      <c r="A166" s="53"/>
      <c r="D166" s="54"/>
      <c r="E166" s="55"/>
      <c r="F166" s="56"/>
      <c r="H166" s="56"/>
      <c r="I166" s="100"/>
      <c r="K166" s="100"/>
      <c r="L166" s="100"/>
      <c r="M166" s="100"/>
      <c r="N166" s="54"/>
      <c r="Q166" s="107"/>
      <c r="R166" s="107"/>
    </row>
    <row r="167" spans="1:18" s="49" customFormat="1" ht="12.75" x14ac:dyDescent="0.2">
      <c r="A167" s="53"/>
      <c r="D167" s="54"/>
      <c r="E167" s="55"/>
      <c r="F167" s="56"/>
      <c r="H167" s="56"/>
      <c r="I167" s="100"/>
      <c r="K167" s="100"/>
      <c r="L167" s="100"/>
      <c r="M167" s="100"/>
      <c r="N167" s="54"/>
      <c r="Q167" s="107"/>
      <c r="R167" s="107"/>
    </row>
    <row r="168" spans="1:18" s="49" customFormat="1" ht="12.75" x14ac:dyDescent="0.2">
      <c r="A168" s="53"/>
      <c r="D168" s="54"/>
      <c r="E168" s="55"/>
      <c r="F168" s="56"/>
      <c r="H168" s="56"/>
      <c r="I168" s="100"/>
      <c r="K168" s="100"/>
      <c r="L168" s="100"/>
      <c r="M168" s="100"/>
      <c r="N168" s="54"/>
      <c r="Q168" s="107"/>
      <c r="R168" s="107"/>
    </row>
    <row r="169" spans="1:18" s="49" customFormat="1" ht="12.75" x14ac:dyDescent="0.2">
      <c r="A169" s="53"/>
      <c r="D169" s="54"/>
      <c r="E169" s="55"/>
      <c r="F169" s="56"/>
      <c r="H169" s="56"/>
      <c r="I169" s="100"/>
      <c r="K169" s="100"/>
      <c r="L169" s="100"/>
      <c r="M169" s="100"/>
      <c r="N169" s="54"/>
      <c r="Q169" s="107"/>
      <c r="R169" s="107"/>
    </row>
    <row r="170" spans="1:18" s="49" customFormat="1" ht="12.75" x14ac:dyDescent="0.2">
      <c r="A170" s="53"/>
      <c r="D170" s="54"/>
      <c r="E170" s="55"/>
      <c r="F170" s="56"/>
      <c r="H170" s="56"/>
      <c r="I170" s="100"/>
      <c r="K170" s="100"/>
      <c r="L170" s="100"/>
      <c r="M170" s="100"/>
      <c r="N170" s="54"/>
      <c r="Q170" s="107"/>
      <c r="R170" s="107"/>
    </row>
    <row r="171" spans="1:18" s="49" customFormat="1" ht="12.75" x14ac:dyDescent="0.2">
      <c r="A171" s="53"/>
      <c r="D171" s="54"/>
      <c r="E171" s="55"/>
      <c r="F171" s="56"/>
      <c r="H171" s="56"/>
      <c r="I171" s="100"/>
      <c r="K171" s="100"/>
      <c r="L171" s="100"/>
      <c r="M171" s="100"/>
      <c r="N171" s="54"/>
      <c r="Q171" s="107"/>
      <c r="R171" s="107"/>
    </row>
    <row r="172" spans="1:18" s="49" customFormat="1" ht="12.75" x14ac:dyDescent="0.2">
      <c r="A172" s="53"/>
      <c r="D172" s="54"/>
      <c r="E172" s="55"/>
      <c r="F172" s="56"/>
      <c r="H172" s="56"/>
      <c r="I172" s="100"/>
      <c r="K172" s="100"/>
      <c r="L172" s="100"/>
      <c r="M172" s="100"/>
      <c r="N172" s="54"/>
      <c r="Q172" s="107"/>
      <c r="R172" s="107"/>
    </row>
    <row r="173" spans="1:18" s="49" customFormat="1" ht="12.75" x14ac:dyDescent="0.2">
      <c r="A173" s="53"/>
      <c r="D173" s="54"/>
      <c r="E173" s="55"/>
      <c r="F173" s="56"/>
      <c r="H173" s="56"/>
      <c r="I173" s="100"/>
      <c r="K173" s="100"/>
      <c r="L173" s="100"/>
      <c r="M173" s="100"/>
      <c r="N173" s="54"/>
      <c r="Q173" s="107"/>
      <c r="R173" s="107"/>
    </row>
    <row r="174" spans="1:18" s="49" customFormat="1" ht="12.75" x14ac:dyDescent="0.2">
      <c r="A174" s="53"/>
      <c r="D174" s="54"/>
      <c r="E174" s="55"/>
      <c r="F174" s="56"/>
      <c r="H174" s="56"/>
      <c r="I174" s="100"/>
      <c r="K174" s="100"/>
      <c r="L174" s="100"/>
      <c r="M174" s="100"/>
      <c r="N174" s="54"/>
      <c r="Q174" s="107"/>
      <c r="R174" s="107"/>
    </row>
    <row r="175" spans="1:18" s="49" customFormat="1" ht="12.75" x14ac:dyDescent="0.2">
      <c r="A175" s="53"/>
      <c r="D175" s="54"/>
      <c r="E175" s="55"/>
      <c r="F175" s="56"/>
      <c r="H175" s="56"/>
      <c r="I175" s="100"/>
      <c r="K175" s="100"/>
      <c r="L175" s="100"/>
      <c r="M175" s="100"/>
      <c r="N175" s="54"/>
      <c r="Q175" s="107"/>
      <c r="R175" s="107"/>
    </row>
    <row r="176" spans="1:18" s="49" customFormat="1" ht="12.75" x14ac:dyDescent="0.2">
      <c r="A176" s="53"/>
      <c r="D176" s="54"/>
      <c r="E176" s="55"/>
      <c r="F176" s="56"/>
      <c r="H176" s="56"/>
      <c r="I176" s="100"/>
      <c r="K176" s="100"/>
      <c r="L176" s="100"/>
      <c r="M176" s="100"/>
      <c r="N176" s="54"/>
      <c r="Q176" s="107"/>
      <c r="R176" s="107"/>
    </row>
    <row r="177" spans="1:18" s="49" customFormat="1" ht="12.75" x14ac:dyDescent="0.2">
      <c r="A177" s="53"/>
      <c r="D177" s="54"/>
      <c r="E177" s="55"/>
      <c r="F177" s="56"/>
      <c r="H177" s="56"/>
      <c r="I177" s="100"/>
      <c r="K177" s="100"/>
      <c r="L177" s="100"/>
      <c r="M177" s="100"/>
      <c r="N177" s="54"/>
      <c r="Q177" s="107"/>
      <c r="R177" s="107"/>
    </row>
    <row r="178" spans="1:18" s="49" customFormat="1" ht="12.75" x14ac:dyDescent="0.2">
      <c r="A178" s="53"/>
      <c r="D178" s="54"/>
      <c r="E178" s="55"/>
      <c r="F178" s="56"/>
      <c r="H178" s="56"/>
      <c r="I178" s="100"/>
      <c r="K178" s="100"/>
      <c r="L178" s="100"/>
      <c r="M178" s="100"/>
      <c r="N178" s="54"/>
      <c r="Q178" s="107"/>
      <c r="R178" s="107"/>
    </row>
    <row r="179" spans="1:18" s="49" customFormat="1" ht="12.75" x14ac:dyDescent="0.2">
      <c r="A179" s="53"/>
      <c r="D179" s="54"/>
      <c r="E179" s="55"/>
      <c r="F179" s="56"/>
      <c r="H179" s="56"/>
      <c r="I179" s="100"/>
      <c r="K179" s="100"/>
      <c r="L179" s="100"/>
      <c r="M179" s="100"/>
      <c r="N179" s="54"/>
      <c r="Q179" s="107"/>
      <c r="R179" s="107"/>
    </row>
    <row r="180" spans="1:18" s="49" customFormat="1" ht="12.75" x14ac:dyDescent="0.2">
      <c r="A180" s="53"/>
      <c r="D180" s="54"/>
      <c r="E180" s="55"/>
      <c r="F180" s="56"/>
      <c r="H180" s="56"/>
      <c r="I180" s="100"/>
      <c r="K180" s="100"/>
      <c r="L180" s="100"/>
      <c r="M180" s="100"/>
      <c r="N180" s="54"/>
      <c r="Q180" s="107"/>
      <c r="R180" s="107"/>
    </row>
    <row r="181" spans="1:18" s="49" customFormat="1" ht="12.75" x14ac:dyDescent="0.2">
      <c r="A181" s="53"/>
      <c r="D181" s="54"/>
      <c r="E181" s="55"/>
      <c r="F181" s="56"/>
      <c r="H181" s="56"/>
      <c r="I181" s="100"/>
      <c r="K181" s="100"/>
      <c r="L181" s="100"/>
      <c r="M181" s="100"/>
      <c r="N181" s="54"/>
      <c r="Q181" s="107"/>
      <c r="R181" s="107"/>
    </row>
    <row r="182" spans="1:18" s="49" customFormat="1" ht="12.75" x14ac:dyDescent="0.2">
      <c r="A182" s="53"/>
      <c r="D182" s="54"/>
      <c r="E182" s="55"/>
      <c r="F182" s="56"/>
      <c r="H182" s="56"/>
      <c r="I182" s="100"/>
      <c r="K182" s="100"/>
      <c r="L182" s="100"/>
      <c r="M182" s="100"/>
      <c r="N182" s="54"/>
      <c r="Q182" s="107"/>
      <c r="R182" s="107"/>
    </row>
    <row r="183" spans="1:18" s="49" customFormat="1" ht="12.75" x14ac:dyDescent="0.2">
      <c r="A183" s="53"/>
      <c r="D183" s="54"/>
      <c r="E183" s="55"/>
      <c r="F183" s="56"/>
      <c r="H183" s="56"/>
      <c r="I183" s="100"/>
      <c r="K183" s="100"/>
      <c r="L183" s="100"/>
      <c r="M183" s="100"/>
      <c r="N183" s="54"/>
      <c r="Q183" s="107"/>
      <c r="R183" s="107"/>
    </row>
    <row r="184" spans="1:18" s="49" customFormat="1" ht="12.75" x14ac:dyDescent="0.2">
      <c r="A184" s="53"/>
      <c r="D184" s="54"/>
      <c r="E184" s="55"/>
      <c r="F184" s="56"/>
      <c r="H184" s="56"/>
      <c r="I184" s="100"/>
      <c r="K184" s="100"/>
      <c r="L184" s="100"/>
      <c r="M184" s="100"/>
      <c r="N184" s="54"/>
      <c r="Q184" s="107"/>
      <c r="R184" s="107"/>
    </row>
    <row r="185" spans="1:18" s="49" customFormat="1" ht="12.75" x14ac:dyDescent="0.2">
      <c r="A185" s="53"/>
      <c r="D185" s="54"/>
      <c r="E185" s="55"/>
      <c r="F185" s="56"/>
      <c r="H185" s="56"/>
      <c r="I185" s="100"/>
      <c r="K185" s="100"/>
      <c r="L185" s="100"/>
      <c r="M185" s="100"/>
      <c r="N185" s="54"/>
      <c r="Q185" s="107"/>
      <c r="R185" s="107"/>
    </row>
    <row r="186" spans="1:18" s="49" customFormat="1" ht="12.75" x14ac:dyDescent="0.2">
      <c r="A186" s="53"/>
      <c r="D186" s="54"/>
      <c r="E186" s="55"/>
      <c r="F186" s="56"/>
      <c r="H186" s="56"/>
      <c r="I186" s="100"/>
      <c r="K186" s="100"/>
      <c r="L186" s="100"/>
      <c r="M186" s="100"/>
      <c r="N186" s="54"/>
      <c r="Q186" s="107"/>
      <c r="R186" s="107"/>
    </row>
    <row r="187" spans="1:18" s="49" customFormat="1" ht="12.75" x14ac:dyDescent="0.2">
      <c r="A187" s="53"/>
      <c r="D187" s="54"/>
      <c r="E187" s="55"/>
      <c r="F187" s="56"/>
      <c r="H187" s="56"/>
      <c r="I187" s="100"/>
      <c r="K187" s="100"/>
      <c r="L187" s="100"/>
      <c r="M187" s="100"/>
      <c r="N187" s="54"/>
      <c r="Q187" s="107"/>
      <c r="R187" s="107"/>
    </row>
    <row r="188" spans="1:18" s="49" customFormat="1" ht="12.75" x14ac:dyDescent="0.2">
      <c r="A188" s="53"/>
      <c r="D188" s="54"/>
      <c r="E188" s="55"/>
      <c r="F188" s="56"/>
      <c r="H188" s="56"/>
      <c r="I188" s="100"/>
      <c r="K188" s="100"/>
      <c r="L188" s="100"/>
      <c r="M188" s="100"/>
      <c r="N188" s="54"/>
      <c r="Q188" s="107"/>
      <c r="R188" s="107"/>
    </row>
    <row r="189" spans="1:18" s="49" customFormat="1" ht="12.75" x14ac:dyDescent="0.2">
      <c r="A189" s="53"/>
      <c r="D189" s="54"/>
      <c r="E189" s="55"/>
      <c r="F189" s="56"/>
      <c r="H189" s="56"/>
      <c r="I189" s="100"/>
      <c r="K189" s="100"/>
      <c r="L189" s="100"/>
      <c r="M189" s="100"/>
      <c r="N189" s="54"/>
      <c r="Q189" s="107"/>
      <c r="R189" s="107"/>
    </row>
    <row r="190" spans="1:18" s="49" customFormat="1" ht="12.75" x14ac:dyDescent="0.2">
      <c r="A190" s="53"/>
      <c r="D190" s="54"/>
      <c r="E190" s="55"/>
      <c r="F190" s="56"/>
      <c r="H190" s="56"/>
      <c r="I190" s="100"/>
      <c r="K190" s="100"/>
      <c r="L190" s="100"/>
      <c r="M190" s="100"/>
      <c r="N190" s="54"/>
      <c r="Q190" s="107"/>
      <c r="R190" s="107"/>
    </row>
    <row r="191" spans="1:18" s="49" customFormat="1" ht="12.75" x14ac:dyDescent="0.2">
      <c r="A191" s="53"/>
      <c r="D191" s="54"/>
      <c r="E191" s="55"/>
      <c r="F191" s="56"/>
      <c r="H191" s="56"/>
      <c r="I191" s="100"/>
      <c r="K191" s="100"/>
      <c r="L191" s="100"/>
      <c r="M191" s="100"/>
      <c r="N191" s="54"/>
      <c r="Q191" s="107"/>
      <c r="R191" s="107"/>
    </row>
    <row r="192" spans="1:18" s="49" customFormat="1" ht="12.75" x14ac:dyDescent="0.2">
      <c r="A192" s="53"/>
      <c r="D192" s="54"/>
      <c r="E192" s="55"/>
      <c r="F192" s="56"/>
      <c r="H192" s="56"/>
      <c r="I192" s="100"/>
      <c r="K192" s="100"/>
      <c r="L192" s="100"/>
      <c r="M192" s="100"/>
      <c r="N192" s="54"/>
      <c r="Q192" s="107"/>
      <c r="R192" s="107"/>
    </row>
    <row r="193" spans="1:18" s="49" customFormat="1" ht="12.75" x14ac:dyDescent="0.2">
      <c r="A193" s="53"/>
      <c r="D193" s="54"/>
      <c r="E193" s="55"/>
      <c r="F193" s="56"/>
      <c r="H193" s="56"/>
      <c r="I193" s="100"/>
      <c r="K193" s="100"/>
      <c r="L193" s="100"/>
      <c r="M193" s="100"/>
      <c r="N193" s="54"/>
      <c r="Q193" s="107"/>
      <c r="R193" s="107"/>
    </row>
    <row r="194" spans="1:18" s="49" customFormat="1" ht="12.75" x14ac:dyDescent="0.2">
      <c r="A194" s="53"/>
      <c r="D194" s="54"/>
      <c r="E194" s="55"/>
      <c r="F194" s="56"/>
      <c r="H194" s="56"/>
      <c r="I194" s="100"/>
      <c r="K194" s="100"/>
      <c r="L194" s="100"/>
      <c r="M194" s="100"/>
      <c r="N194" s="54"/>
      <c r="Q194" s="107"/>
      <c r="R194" s="107"/>
    </row>
    <row r="195" spans="1:18" s="49" customFormat="1" ht="12.75" x14ac:dyDescent="0.2">
      <c r="A195" s="53"/>
      <c r="D195" s="54"/>
      <c r="E195" s="55"/>
      <c r="F195" s="56"/>
      <c r="H195" s="56"/>
      <c r="I195" s="100"/>
      <c r="K195" s="100"/>
      <c r="L195" s="100"/>
      <c r="M195" s="100"/>
      <c r="N195" s="54"/>
      <c r="Q195" s="107"/>
      <c r="R195" s="107"/>
    </row>
    <row r="196" spans="1:18" s="49" customFormat="1" ht="12.75" x14ac:dyDescent="0.2">
      <c r="A196" s="53"/>
      <c r="D196" s="54"/>
      <c r="E196" s="55"/>
      <c r="F196" s="56"/>
      <c r="H196" s="56"/>
      <c r="I196" s="100"/>
      <c r="K196" s="100"/>
      <c r="L196" s="100"/>
      <c r="M196" s="100"/>
      <c r="N196" s="54"/>
      <c r="Q196" s="107"/>
      <c r="R196" s="107"/>
    </row>
    <row r="197" spans="1:18" s="49" customFormat="1" ht="12.75" x14ac:dyDescent="0.2">
      <c r="A197" s="53"/>
      <c r="D197" s="54"/>
      <c r="E197" s="55"/>
      <c r="F197" s="56"/>
      <c r="H197" s="56"/>
      <c r="I197" s="100"/>
      <c r="K197" s="100"/>
      <c r="L197" s="100"/>
      <c r="M197" s="100"/>
      <c r="N197" s="54"/>
      <c r="Q197" s="107"/>
      <c r="R197" s="107"/>
    </row>
    <row r="198" spans="1:18" s="49" customFormat="1" ht="12.75" x14ac:dyDescent="0.2">
      <c r="A198" s="53"/>
      <c r="D198" s="54"/>
      <c r="E198" s="55"/>
      <c r="F198" s="56"/>
      <c r="H198" s="56"/>
      <c r="I198" s="100"/>
      <c r="K198" s="100"/>
      <c r="L198" s="100"/>
      <c r="M198" s="100"/>
      <c r="N198" s="54"/>
      <c r="Q198" s="107"/>
      <c r="R198" s="107"/>
    </row>
    <row r="199" spans="1:18" s="49" customFormat="1" ht="12.75" x14ac:dyDescent="0.2">
      <c r="A199" s="53"/>
      <c r="D199" s="54"/>
      <c r="E199" s="55"/>
      <c r="F199" s="56"/>
      <c r="H199" s="56"/>
      <c r="I199" s="100"/>
      <c r="K199" s="100"/>
      <c r="L199" s="100"/>
      <c r="M199" s="100"/>
      <c r="N199" s="54"/>
      <c r="Q199" s="107"/>
      <c r="R199" s="107"/>
    </row>
    <row r="200" spans="1:18" s="49" customFormat="1" ht="12.75" x14ac:dyDescent="0.2">
      <c r="A200" s="53"/>
      <c r="D200" s="54"/>
      <c r="E200" s="55"/>
      <c r="F200" s="56"/>
      <c r="H200" s="56"/>
      <c r="I200" s="100"/>
      <c r="K200" s="100"/>
      <c r="L200" s="100"/>
      <c r="M200" s="100"/>
      <c r="N200" s="54"/>
      <c r="Q200" s="107"/>
      <c r="R200" s="107"/>
    </row>
    <row r="201" spans="1:18" s="49" customFormat="1" ht="12.75" x14ac:dyDescent="0.2">
      <c r="A201" s="53"/>
      <c r="D201" s="54"/>
      <c r="E201" s="55"/>
      <c r="F201" s="56"/>
      <c r="H201" s="56"/>
      <c r="I201" s="100"/>
      <c r="K201" s="100"/>
      <c r="L201" s="100"/>
      <c r="M201" s="100"/>
      <c r="N201" s="54"/>
      <c r="Q201" s="107"/>
      <c r="R201" s="107"/>
    </row>
    <row r="202" spans="1:18" s="49" customFormat="1" ht="12.75" x14ac:dyDescent="0.2">
      <c r="A202" s="53"/>
      <c r="D202" s="54"/>
      <c r="E202" s="55"/>
      <c r="F202" s="56"/>
      <c r="H202" s="56"/>
      <c r="I202" s="100"/>
      <c r="K202" s="100"/>
      <c r="L202" s="100"/>
      <c r="M202" s="100"/>
      <c r="N202" s="54"/>
      <c r="Q202" s="107"/>
      <c r="R202" s="107"/>
    </row>
    <row r="203" spans="1:18" s="49" customFormat="1" ht="12.75" x14ac:dyDescent="0.2">
      <c r="A203" s="53"/>
      <c r="D203" s="54"/>
      <c r="E203" s="55"/>
      <c r="F203" s="56"/>
      <c r="H203" s="56"/>
      <c r="I203" s="100"/>
      <c r="K203" s="100"/>
      <c r="L203" s="100"/>
      <c r="M203" s="100"/>
      <c r="N203" s="54"/>
      <c r="Q203" s="107"/>
      <c r="R203" s="107"/>
    </row>
    <row r="204" spans="1:18" s="49" customFormat="1" ht="12.75" x14ac:dyDescent="0.2">
      <c r="A204" s="53"/>
      <c r="D204" s="54"/>
      <c r="E204" s="55"/>
      <c r="F204" s="56"/>
      <c r="H204" s="56"/>
      <c r="I204" s="100"/>
      <c r="K204" s="100"/>
      <c r="L204" s="100"/>
      <c r="M204" s="100"/>
      <c r="N204" s="54"/>
      <c r="Q204" s="107"/>
      <c r="R204" s="107"/>
    </row>
    <row r="205" spans="1:18" s="49" customFormat="1" ht="12.75" x14ac:dyDescent="0.2">
      <c r="A205" s="53"/>
      <c r="D205" s="54"/>
      <c r="E205" s="55"/>
      <c r="F205" s="56"/>
      <c r="H205" s="56"/>
      <c r="I205" s="100"/>
      <c r="K205" s="100"/>
      <c r="L205" s="100"/>
      <c r="M205" s="100"/>
      <c r="N205" s="54"/>
      <c r="Q205" s="107"/>
      <c r="R205" s="107"/>
    </row>
    <row r="206" spans="1:18" s="49" customFormat="1" ht="12.75" x14ac:dyDescent="0.2">
      <c r="A206" s="53"/>
      <c r="D206" s="54"/>
      <c r="E206" s="55"/>
      <c r="F206" s="56"/>
      <c r="H206" s="56"/>
      <c r="I206" s="100"/>
      <c r="K206" s="100"/>
      <c r="L206" s="100"/>
      <c r="M206" s="100"/>
      <c r="N206" s="54"/>
      <c r="Q206" s="107"/>
      <c r="R206" s="107"/>
    </row>
    <row r="207" spans="1:18" s="49" customFormat="1" ht="12.75" x14ac:dyDescent="0.2">
      <c r="A207" s="53"/>
      <c r="D207" s="54"/>
      <c r="E207" s="55"/>
      <c r="F207" s="56"/>
      <c r="H207" s="56"/>
      <c r="I207" s="100"/>
      <c r="K207" s="100"/>
      <c r="L207" s="100"/>
      <c r="M207" s="100"/>
      <c r="N207" s="54"/>
      <c r="Q207" s="107"/>
      <c r="R207" s="107"/>
    </row>
    <row r="208" spans="1:18" s="49" customFormat="1" ht="12.75" x14ac:dyDescent="0.2">
      <c r="A208" s="53"/>
      <c r="D208" s="54"/>
      <c r="E208" s="55"/>
      <c r="F208" s="56"/>
      <c r="H208" s="56"/>
      <c r="I208" s="100"/>
      <c r="K208" s="100"/>
      <c r="L208" s="100"/>
      <c r="M208" s="100"/>
      <c r="N208" s="54"/>
      <c r="Q208" s="107"/>
      <c r="R208" s="107"/>
    </row>
    <row r="209" spans="1:18" s="49" customFormat="1" ht="12.75" x14ac:dyDescent="0.2">
      <c r="A209" s="53"/>
      <c r="D209" s="54"/>
      <c r="E209" s="55"/>
      <c r="F209" s="56"/>
      <c r="H209" s="56"/>
      <c r="I209" s="100"/>
      <c r="K209" s="100"/>
      <c r="L209" s="100"/>
      <c r="M209" s="100"/>
      <c r="N209" s="54"/>
      <c r="Q209" s="107"/>
      <c r="R209" s="107"/>
    </row>
    <row r="210" spans="1:18" s="49" customFormat="1" ht="12.75" x14ac:dyDescent="0.2">
      <c r="A210" s="53"/>
      <c r="D210" s="54"/>
      <c r="E210" s="55"/>
      <c r="F210" s="56"/>
      <c r="H210" s="56"/>
      <c r="I210" s="100"/>
      <c r="K210" s="100"/>
      <c r="L210" s="100"/>
      <c r="M210" s="100"/>
      <c r="N210" s="54"/>
      <c r="Q210" s="107"/>
      <c r="R210" s="107"/>
    </row>
    <row r="211" spans="1:18" s="49" customFormat="1" ht="12.75" x14ac:dyDescent="0.2">
      <c r="A211" s="53"/>
      <c r="D211" s="54"/>
      <c r="E211" s="55"/>
      <c r="F211" s="56"/>
      <c r="H211" s="56"/>
      <c r="I211" s="100"/>
      <c r="K211" s="100"/>
      <c r="L211" s="100"/>
      <c r="M211" s="100"/>
      <c r="N211" s="54"/>
      <c r="Q211" s="107"/>
      <c r="R211" s="107"/>
    </row>
    <row r="212" spans="1:18" s="49" customFormat="1" ht="12.75" x14ac:dyDescent="0.2">
      <c r="A212" s="53"/>
      <c r="D212" s="54"/>
      <c r="E212" s="55"/>
      <c r="F212" s="56"/>
      <c r="H212" s="56"/>
      <c r="I212" s="100"/>
      <c r="K212" s="100"/>
      <c r="L212" s="100"/>
      <c r="M212" s="100"/>
      <c r="N212" s="54"/>
      <c r="Q212" s="107"/>
      <c r="R212" s="107"/>
    </row>
    <row r="213" spans="1:18" s="49" customFormat="1" ht="12.75" x14ac:dyDescent="0.2">
      <c r="A213" s="53"/>
      <c r="D213" s="54"/>
      <c r="E213" s="55"/>
      <c r="F213" s="56"/>
      <c r="H213" s="56"/>
      <c r="I213" s="100"/>
      <c r="K213" s="100"/>
      <c r="L213" s="100"/>
      <c r="M213" s="100"/>
      <c r="N213" s="54"/>
      <c r="Q213" s="107"/>
      <c r="R213" s="107"/>
    </row>
    <row r="214" spans="1:18" s="49" customFormat="1" ht="12.75" x14ac:dyDescent="0.2">
      <c r="A214" s="53"/>
      <c r="D214" s="54"/>
      <c r="E214" s="55"/>
      <c r="F214" s="56"/>
      <c r="H214" s="56"/>
      <c r="I214" s="100"/>
      <c r="K214" s="100"/>
      <c r="L214" s="100"/>
      <c r="M214" s="100"/>
      <c r="N214" s="54"/>
      <c r="Q214" s="107"/>
      <c r="R214" s="107"/>
    </row>
    <row r="215" spans="1:18" s="49" customFormat="1" ht="12.75" x14ac:dyDescent="0.2">
      <c r="A215" s="53"/>
      <c r="D215" s="54"/>
      <c r="E215" s="55"/>
      <c r="F215" s="56"/>
      <c r="H215" s="56"/>
      <c r="I215" s="100"/>
      <c r="K215" s="100"/>
      <c r="L215" s="100"/>
      <c r="M215" s="100"/>
      <c r="N215" s="54"/>
      <c r="Q215" s="107"/>
      <c r="R215" s="107"/>
    </row>
    <row r="216" spans="1:18" s="49" customFormat="1" ht="12.75" x14ac:dyDescent="0.2">
      <c r="A216" s="53"/>
      <c r="D216" s="54"/>
      <c r="E216" s="55"/>
      <c r="F216" s="56"/>
      <c r="H216" s="56"/>
      <c r="I216" s="100"/>
      <c r="K216" s="100"/>
      <c r="L216" s="100"/>
      <c r="M216" s="100"/>
      <c r="N216" s="54"/>
      <c r="Q216" s="107"/>
      <c r="R216" s="107"/>
    </row>
    <row r="217" spans="1:18" s="49" customFormat="1" ht="12.75" x14ac:dyDescent="0.2">
      <c r="A217" s="53"/>
      <c r="D217" s="54"/>
      <c r="E217" s="55"/>
      <c r="F217" s="56"/>
      <c r="H217" s="56"/>
      <c r="I217" s="100"/>
      <c r="K217" s="100"/>
      <c r="L217" s="100"/>
      <c r="M217" s="100"/>
      <c r="N217" s="54"/>
      <c r="Q217" s="107"/>
      <c r="R217" s="107"/>
    </row>
    <row r="218" spans="1:18" s="49" customFormat="1" ht="12.75" x14ac:dyDescent="0.2">
      <c r="A218" s="53"/>
      <c r="D218" s="54"/>
      <c r="E218" s="55"/>
      <c r="F218" s="56"/>
      <c r="H218" s="56"/>
      <c r="I218" s="100"/>
      <c r="K218" s="100"/>
      <c r="L218" s="100"/>
      <c r="M218" s="100"/>
      <c r="N218" s="54"/>
      <c r="Q218" s="107"/>
      <c r="R218" s="107"/>
    </row>
    <row r="219" spans="1:18" s="49" customFormat="1" ht="12.75" x14ac:dyDescent="0.2">
      <c r="A219" s="53"/>
      <c r="D219" s="54"/>
      <c r="E219" s="55"/>
      <c r="F219" s="56"/>
      <c r="H219" s="56"/>
      <c r="I219" s="100"/>
      <c r="K219" s="100"/>
      <c r="L219" s="100"/>
      <c r="M219" s="100"/>
      <c r="N219" s="54"/>
      <c r="Q219" s="107"/>
      <c r="R219" s="107"/>
    </row>
    <row r="220" spans="1:18" s="49" customFormat="1" ht="12.75" x14ac:dyDescent="0.2">
      <c r="A220" s="53"/>
      <c r="D220" s="54"/>
      <c r="E220" s="55"/>
      <c r="F220" s="56"/>
      <c r="H220" s="56"/>
      <c r="I220" s="100"/>
      <c r="K220" s="100"/>
      <c r="L220" s="100"/>
      <c r="M220" s="100"/>
      <c r="N220" s="54"/>
      <c r="Q220" s="107"/>
      <c r="R220" s="107"/>
    </row>
    <row r="221" spans="1:18" s="49" customFormat="1" ht="12.75" x14ac:dyDescent="0.2">
      <c r="A221" s="53"/>
      <c r="D221" s="54"/>
      <c r="E221" s="55"/>
      <c r="F221" s="56"/>
      <c r="H221" s="56"/>
      <c r="I221" s="100"/>
      <c r="K221" s="100"/>
      <c r="L221" s="100"/>
      <c r="M221" s="100"/>
      <c r="N221" s="54"/>
      <c r="Q221" s="107"/>
      <c r="R221" s="107"/>
    </row>
    <row r="222" spans="1:18" s="49" customFormat="1" ht="12.75" x14ac:dyDescent="0.2">
      <c r="A222" s="53"/>
      <c r="D222" s="54"/>
      <c r="E222" s="55"/>
      <c r="F222" s="56"/>
      <c r="H222" s="56"/>
      <c r="I222" s="100"/>
      <c r="K222" s="100"/>
      <c r="L222" s="100"/>
      <c r="M222" s="100"/>
      <c r="N222" s="54"/>
      <c r="Q222" s="107"/>
      <c r="R222" s="107"/>
    </row>
    <row r="223" spans="1:18" s="49" customFormat="1" ht="12.75" x14ac:dyDescent="0.2">
      <c r="A223" s="53"/>
      <c r="D223" s="54"/>
      <c r="E223" s="55"/>
      <c r="F223" s="56"/>
      <c r="H223" s="56"/>
      <c r="I223" s="100"/>
      <c r="K223" s="100"/>
      <c r="L223" s="100"/>
      <c r="M223" s="100"/>
      <c r="N223" s="54"/>
      <c r="Q223" s="107"/>
      <c r="R223" s="107"/>
    </row>
    <row r="224" spans="1:18" s="49" customFormat="1" ht="12.75" x14ac:dyDescent="0.2">
      <c r="A224" s="53"/>
      <c r="D224" s="54"/>
      <c r="E224" s="55"/>
      <c r="F224" s="56"/>
      <c r="H224" s="56"/>
      <c r="I224" s="100"/>
      <c r="K224" s="100"/>
      <c r="L224" s="100"/>
      <c r="M224" s="100"/>
      <c r="N224" s="54"/>
      <c r="Q224" s="107"/>
      <c r="R224" s="107"/>
    </row>
    <row r="225" spans="1:18" s="49" customFormat="1" ht="12.75" x14ac:dyDescent="0.2">
      <c r="A225" s="53"/>
      <c r="D225" s="54"/>
      <c r="E225" s="55"/>
      <c r="F225" s="56"/>
      <c r="H225" s="56"/>
      <c r="I225" s="100"/>
      <c r="K225" s="100"/>
      <c r="L225" s="100"/>
      <c r="M225" s="100"/>
      <c r="N225" s="54"/>
      <c r="Q225" s="107"/>
      <c r="R225" s="107"/>
    </row>
    <row r="226" spans="1:18" s="49" customFormat="1" ht="12.75" x14ac:dyDescent="0.2">
      <c r="A226" s="53"/>
      <c r="D226" s="54"/>
      <c r="E226" s="55"/>
      <c r="F226" s="56"/>
      <c r="H226" s="56"/>
      <c r="I226" s="100"/>
      <c r="K226" s="100"/>
      <c r="L226" s="100"/>
      <c r="M226" s="100"/>
      <c r="N226" s="54"/>
      <c r="Q226" s="107"/>
      <c r="R226" s="107"/>
    </row>
    <row r="227" spans="1:18" s="49" customFormat="1" ht="12.75" x14ac:dyDescent="0.2">
      <c r="A227" s="53"/>
      <c r="D227" s="54"/>
      <c r="E227" s="55"/>
      <c r="F227" s="56"/>
      <c r="H227" s="56"/>
      <c r="I227" s="100"/>
      <c r="K227" s="100"/>
      <c r="L227" s="100"/>
      <c r="M227" s="100"/>
      <c r="N227" s="54"/>
      <c r="Q227" s="107"/>
      <c r="R227" s="107"/>
    </row>
    <row r="228" spans="1:18" s="49" customFormat="1" ht="12.75" x14ac:dyDescent="0.2">
      <c r="A228" s="53"/>
      <c r="D228" s="54"/>
      <c r="E228" s="55"/>
      <c r="F228" s="56"/>
      <c r="H228" s="56"/>
      <c r="I228" s="100"/>
      <c r="K228" s="100"/>
      <c r="L228" s="100"/>
      <c r="M228" s="100"/>
      <c r="N228" s="54"/>
      <c r="Q228" s="107"/>
      <c r="R228" s="107"/>
    </row>
    <row r="229" spans="1:18" s="49" customFormat="1" ht="12.75" x14ac:dyDescent="0.2">
      <c r="A229" s="53"/>
      <c r="D229" s="54"/>
      <c r="E229" s="55"/>
      <c r="F229" s="56"/>
      <c r="H229" s="56"/>
      <c r="I229" s="100"/>
      <c r="K229" s="100"/>
      <c r="L229" s="100"/>
      <c r="M229" s="100"/>
      <c r="N229" s="54"/>
      <c r="Q229" s="107"/>
      <c r="R229" s="107"/>
    </row>
    <row r="230" spans="1:18" s="49" customFormat="1" ht="12.75" x14ac:dyDescent="0.2">
      <c r="A230" s="53"/>
      <c r="D230" s="54"/>
      <c r="E230" s="55"/>
      <c r="F230" s="56"/>
      <c r="H230" s="56"/>
      <c r="I230" s="100"/>
      <c r="K230" s="100"/>
      <c r="L230" s="100"/>
      <c r="M230" s="100"/>
      <c r="N230" s="54"/>
      <c r="Q230" s="107"/>
      <c r="R230" s="107"/>
    </row>
    <row r="231" spans="1:18" s="49" customFormat="1" ht="12.75" x14ac:dyDescent="0.2">
      <c r="A231" s="53"/>
      <c r="D231" s="54"/>
      <c r="E231" s="55"/>
      <c r="F231" s="56"/>
      <c r="H231" s="56"/>
      <c r="I231" s="100"/>
      <c r="K231" s="100"/>
      <c r="L231" s="100"/>
      <c r="M231" s="100"/>
      <c r="N231" s="54"/>
      <c r="Q231" s="107"/>
      <c r="R231" s="107"/>
    </row>
    <row r="232" spans="1:18" s="49" customFormat="1" ht="12.75" x14ac:dyDescent="0.2">
      <c r="A232" s="53"/>
      <c r="D232" s="54"/>
      <c r="E232" s="55"/>
      <c r="F232" s="56"/>
      <c r="H232" s="56"/>
      <c r="I232" s="100"/>
      <c r="K232" s="100"/>
      <c r="L232" s="100"/>
      <c r="M232" s="100"/>
      <c r="N232" s="54"/>
      <c r="Q232" s="107"/>
      <c r="R232" s="107"/>
    </row>
    <row r="233" spans="1:18" s="49" customFormat="1" ht="12.75" x14ac:dyDescent="0.2">
      <c r="A233" s="53"/>
      <c r="D233" s="54"/>
      <c r="E233" s="55"/>
      <c r="F233" s="56"/>
      <c r="H233" s="56"/>
      <c r="I233" s="100"/>
      <c r="K233" s="100"/>
      <c r="L233" s="100"/>
      <c r="M233" s="100"/>
      <c r="N233" s="54"/>
      <c r="Q233" s="107"/>
      <c r="R233" s="107"/>
    </row>
    <row r="234" spans="1:18" s="49" customFormat="1" ht="12.75" x14ac:dyDescent="0.2">
      <c r="A234" s="53"/>
      <c r="D234" s="54"/>
      <c r="E234" s="55"/>
      <c r="F234" s="56"/>
      <c r="H234" s="56"/>
      <c r="I234" s="100"/>
      <c r="K234" s="100"/>
      <c r="L234" s="100"/>
      <c r="M234" s="100"/>
      <c r="N234" s="54"/>
      <c r="Q234" s="107"/>
      <c r="R234" s="107"/>
    </row>
    <row r="235" spans="1:18" s="49" customFormat="1" ht="12.75" x14ac:dyDescent="0.2">
      <c r="A235" s="53"/>
      <c r="D235" s="54"/>
      <c r="E235" s="55"/>
      <c r="F235" s="56"/>
      <c r="H235" s="56"/>
      <c r="I235" s="100"/>
      <c r="K235" s="100"/>
      <c r="L235" s="100"/>
      <c r="M235" s="100"/>
      <c r="N235" s="54"/>
      <c r="Q235" s="107"/>
      <c r="R235" s="107"/>
    </row>
    <row r="236" spans="1:18" s="49" customFormat="1" ht="12.75" x14ac:dyDescent="0.2">
      <c r="A236" s="53"/>
      <c r="D236" s="54"/>
      <c r="E236" s="55"/>
      <c r="F236" s="56"/>
      <c r="H236" s="56"/>
      <c r="I236" s="100"/>
      <c r="K236" s="100"/>
      <c r="L236" s="100"/>
      <c r="M236" s="100"/>
      <c r="N236" s="54"/>
      <c r="Q236" s="107"/>
      <c r="R236" s="107"/>
    </row>
    <row r="237" spans="1:18" s="49" customFormat="1" ht="12.75" x14ac:dyDescent="0.2">
      <c r="A237" s="53"/>
      <c r="D237" s="54"/>
      <c r="E237" s="55"/>
      <c r="F237" s="56"/>
      <c r="H237" s="56"/>
      <c r="I237" s="100"/>
      <c r="K237" s="100"/>
      <c r="L237" s="100"/>
      <c r="M237" s="100"/>
      <c r="N237" s="54"/>
      <c r="Q237" s="107"/>
      <c r="R237" s="107"/>
    </row>
    <row r="238" spans="1:18" s="49" customFormat="1" ht="12.75" x14ac:dyDescent="0.2">
      <c r="A238" s="53"/>
      <c r="D238" s="54"/>
      <c r="E238" s="55"/>
      <c r="F238" s="56"/>
      <c r="H238" s="56"/>
      <c r="I238" s="100"/>
      <c r="K238" s="100"/>
      <c r="L238" s="100"/>
      <c r="M238" s="100"/>
      <c r="N238" s="54"/>
      <c r="Q238" s="107"/>
      <c r="R238" s="107"/>
    </row>
    <row r="239" spans="1:18" s="49" customFormat="1" ht="12.75" x14ac:dyDescent="0.2">
      <c r="A239" s="53"/>
      <c r="D239" s="54"/>
      <c r="E239" s="55"/>
      <c r="F239" s="56"/>
      <c r="H239" s="56"/>
      <c r="I239" s="100"/>
      <c r="K239" s="100"/>
      <c r="L239" s="100"/>
      <c r="M239" s="100"/>
      <c r="N239" s="54"/>
      <c r="Q239" s="107"/>
      <c r="R239" s="107"/>
    </row>
    <row r="240" spans="1:18" s="49" customFormat="1" ht="12.75" x14ac:dyDescent="0.2">
      <c r="A240" s="53"/>
      <c r="D240" s="54"/>
      <c r="E240" s="55"/>
      <c r="F240" s="56"/>
      <c r="H240" s="56"/>
      <c r="I240" s="100"/>
      <c r="K240" s="100"/>
      <c r="L240" s="100"/>
      <c r="M240" s="100"/>
      <c r="N240" s="54"/>
      <c r="Q240" s="107"/>
      <c r="R240" s="107"/>
    </row>
    <row r="241" spans="1:18" s="49" customFormat="1" ht="12.75" x14ac:dyDescent="0.2">
      <c r="A241" s="53"/>
      <c r="D241" s="54"/>
      <c r="E241" s="55"/>
      <c r="F241" s="56"/>
      <c r="H241" s="56"/>
      <c r="I241" s="100"/>
      <c r="K241" s="100"/>
      <c r="L241" s="100"/>
      <c r="M241" s="100"/>
      <c r="N241" s="54"/>
      <c r="Q241" s="107"/>
      <c r="R241" s="107"/>
    </row>
    <row r="242" spans="1:18" s="49" customFormat="1" ht="12.75" x14ac:dyDescent="0.2">
      <c r="A242" s="53"/>
      <c r="D242" s="54"/>
      <c r="E242" s="55"/>
      <c r="F242" s="56"/>
      <c r="H242" s="56"/>
      <c r="I242" s="100"/>
      <c r="K242" s="100"/>
      <c r="L242" s="100"/>
      <c r="M242" s="100"/>
      <c r="N242" s="54"/>
      <c r="Q242" s="107"/>
      <c r="R242" s="107"/>
    </row>
    <row r="243" spans="1:18" s="49" customFormat="1" ht="12.75" x14ac:dyDescent="0.2">
      <c r="A243" s="53"/>
      <c r="D243" s="54"/>
      <c r="E243" s="55"/>
      <c r="F243" s="56"/>
      <c r="H243" s="56"/>
      <c r="I243" s="100"/>
      <c r="K243" s="100"/>
      <c r="L243" s="100"/>
      <c r="M243" s="100"/>
      <c r="N243" s="54"/>
      <c r="Q243" s="107"/>
      <c r="R243" s="107"/>
    </row>
    <row r="244" spans="1:18" s="49" customFormat="1" ht="12.75" x14ac:dyDescent="0.2">
      <c r="A244" s="53"/>
      <c r="D244" s="54"/>
      <c r="E244" s="55"/>
      <c r="F244" s="56"/>
      <c r="H244" s="56"/>
      <c r="I244" s="100"/>
      <c r="K244" s="100"/>
      <c r="L244" s="100"/>
      <c r="M244" s="100"/>
      <c r="N244" s="54"/>
      <c r="Q244" s="107"/>
      <c r="R244" s="107"/>
    </row>
    <row r="245" spans="1:18" s="49" customFormat="1" ht="12.75" x14ac:dyDescent="0.2">
      <c r="A245" s="53"/>
      <c r="D245" s="54"/>
      <c r="E245" s="55"/>
      <c r="F245" s="56"/>
      <c r="H245" s="56"/>
      <c r="I245" s="100"/>
      <c r="K245" s="100"/>
      <c r="L245" s="100"/>
      <c r="M245" s="100"/>
      <c r="N245" s="54"/>
      <c r="Q245" s="107"/>
      <c r="R245" s="107"/>
    </row>
    <row r="246" spans="1:18" s="49" customFormat="1" ht="12.75" x14ac:dyDescent="0.2">
      <c r="A246" s="53"/>
      <c r="D246" s="54"/>
      <c r="E246" s="55"/>
      <c r="F246" s="56"/>
      <c r="H246" s="56"/>
      <c r="I246" s="100"/>
      <c r="K246" s="100"/>
      <c r="L246" s="100"/>
      <c r="M246" s="100"/>
      <c r="N246" s="54"/>
      <c r="Q246" s="107"/>
      <c r="R246" s="107"/>
    </row>
    <row r="247" spans="1:18" s="49" customFormat="1" ht="12.75" x14ac:dyDescent="0.2">
      <c r="A247" s="53"/>
      <c r="D247" s="54"/>
      <c r="E247" s="55"/>
      <c r="F247" s="56"/>
      <c r="H247" s="56"/>
      <c r="I247" s="100"/>
      <c r="K247" s="100"/>
      <c r="L247" s="100"/>
      <c r="M247" s="100"/>
      <c r="N247" s="54"/>
      <c r="Q247" s="107"/>
      <c r="R247" s="107"/>
    </row>
    <row r="248" spans="1:18" s="49" customFormat="1" ht="12.75" x14ac:dyDescent="0.2">
      <c r="A248" s="53"/>
      <c r="D248" s="54"/>
      <c r="E248" s="55"/>
      <c r="F248" s="56"/>
      <c r="H248" s="56"/>
      <c r="I248" s="100"/>
      <c r="K248" s="100"/>
      <c r="L248" s="100"/>
      <c r="M248" s="100"/>
      <c r="N248" s="54"/>
      <c r="Q248" s="107"/>
      <c r="R248" s="107"/>
    </row>
    <row r="249" spans="1:18" s="49" customFormat="1" ht="12.75" x14ac:dyDescent="0.2">
      <c r="A249" s="53"/>
      <c r="D249" s="54"/>
      <c r="E249" s="55"/>
      <c r="F249" s="56"/>
      <c r="H249" s="56"/>
      <c r="I249" s="100"/>
      <c r="K249" s="100"/>
      <c r="L249" s="100"/>
      <c r="M249" s="100"/>
      <c r="N249" s="54"/>
      <c r="Q249" s="107"/>
      <c r="R249" s="107"/>
    </row>
    <row r="250" spans="1:18" s="49" customFormat="1" ht="12.75" x14ac:dyDescent="0.2">
      <c r="A250" s="53"/>
      <c r="D250" s="54"/>
      <c r="E250" s="55"/>
      <c r="F250" s="56"/>
      <c r="H250" s="56"/>
      <c r="I250" s="100"/>
      <c r="K250" s="100"/>
      <c r="L250" s="100"/>
      <c r="M250" s="100"/>
      <c r="N250" s="54"/>
      <c r="Q250" s="107"/>
      <c r="R250" s="107"/>
    </row>
    <row r="251" spans="1:18" s="49" customFormat="1" ht="12.75" x14ac:dyDescent="0.2">
      <c r="A251" s="53"/>
      <c r="D251" s="54"/>
      <c r="E251" s="55"/>
      <c r="F251" s="56"/>
      <c r="H251" s="56"/>
      <c r="I251" s="100"/>
      <c r="K251" s="100"/>
      <c r="L251" s="100"/>
      <c r="M251" s="100"/>
      <c r="N251" s="54"/>
      <c r="Q251" s="107"/>
      <c r="R251" s="107"/>
    </row>
    <row r="252" spans="1:18" s="49" customFormat="1" ht="12.75" x14ac:dyDescent="0.2">
      <c r="A252" s="53"/>
      <c r="D252" s="54"/>
      <c r="E252" s="55"/>
      <c r="F252" s="56"/>
      <c r="H252" s="56"/>
      <c r="I252" s="100"/>
      <c r="K252" s="100"/>
      <c r="L252" s="100"/>
      <c r="M252" s="100"/>
      <c r="N252" s="54"/>
      <c r="Q252" s="107"/>
      <c r="R252" s="107"/>
    </row>
    <row r="253" spans="1:18" s="49" customFormat="1" ht="12.75" x14ac:dyDescent="0.2">
      <c r="A253" s="53"/>
      <c r="D253" s="54"/>
      <c r="E253" s="55"/>
      <c r="F253" s="56"/>
      <c r="H253" s="56"/>
      <c r="I253" s="100"/>
      <c r="K253" s="100"/>
      <c r="L253" s="100"/>
      <c r="M253" s="100"/>
      <c r="N253" s="54"/>
      <c r="Q253" s="107"/>
      <c r="R253" s="107"/>
    </row>
    <row r="254" spans="1:18" s="49" customFormat="1" ht="12.75" x14ac:dyDescent="0.2">
      <c r="A254" s="53"/>
      <c r="D254" s="54"/>
      <c r="E254" s="55"/>
      <c r="F254" s="56"/>
      <c r="H254" s="56"/>
      <c r="I254" s="100"/>
      <c r="K254" s="100"/>
      <c r="L254" s="100"/>
      <c r="M254" s="100"/>
      <c r="N254" s="54"/>
      <c r="Q254" s="107"/>
      <c r="R254" s="107"/>
    </row>
    <row r="255" spans="1:18" s="49" customFormat="1" ht="12.75" x14ac:dyDescent="0.2">
      <c r="A255" s="53"/>
      <c r="D255" s="54"/>
      <c r="E255" s="55"/>
      <c r="F255" s="56"/>
      <c r="H255" s="56"/>
      <c r="I255" s="100"/>
      <c r="K255" s="100"/>
      <c r="L255" s="100"/>
      <c r="M255" s="100"/>
      <c r="N255" s="54"/>
      <c r="Q255" s="107"/>
      <c r="R255" s="107"/>
    </row>
    <row r="256" spans="1:18" s="49" customFormat="1" ht="12.75" x14ac:dyDescent="0.2">
      <c r="A256" s="53"/>
      <c r="D256" s="54"/>
      <c r="E256" s="55"/>
      <c r="F256" s="56"/>
      <c r="H256" s="56"/>
      <c r="I256" s="100"/>
      <c r="K256" s="100"/>
      <c r="L256" s="100"/>
      <c r="M256" s="100"/>
      <c r="N256" s="54"/>
      <c r="Q256" s="107"/>
      <c r="R256" s="107"/>
    </row>
    <row r="257" spans="1:18" s="49" customFormat="1" ht="12.75" x14ac:dyDescent="0.2">
      <c r="A257" s="53"/>
      <c r="D257" s="54"/>
      <c r="E257" s="55"/>
      <c r="F257" s="56"/>
      <c r="H257" s="56"/>
      <c r="I257" s="100"/>
      <c r="K257" s="100"/>
      <c r="L257" s="100"/>
      <c r="M257" s="100"/>
      <c r="N257" s="54"/>
      <c r="Q257" s="107"/>
      <c r="R257" s="107"/>
    </row>
    <row r="258" spans="1:18" s="49" customFormat="1" ht="12.75" x14ac:dyDescent="0.2">
      <c r="A258" s="53"/>
      <c r="D258" s="54"/>
      <c r="E258" s="55"/>
      <c r="F258" s="56"/>
      <c r="H258" s="56"/>
      <c r="I258" s="100"/>
      <c r="K258" s="100"/>
      <c r="L258" s="100"/>
      <c r="M258" s="100"/>
      <c r="N258" s="54"/>
      <c r="Q258" s="107"/>
      <c r="R258" s="107"/>
    </row>
    <row r="259" spans="1:18" s="49" customFormat="1" ht="12.75" x14ac:dyDescent="0.2">
      <c r="A259" s="53"/>
      <c r="D259" s="54"/>
      <c r="E259" s="55"/>
      <c r="F259" s="56"/>
      <c r="H259" s="56"/>
      <c r="I259" s="100"/>
      <c r="K259" s="100"/>
      <c r="L259" s="100"/>
      <c r="M259" s="100"/>
      <c r="N259" s="54"/>
      <c r="Q259" s="107"/>
      <c r="R259" s="107"/>
    </row>
    <row r="260" spans="1:18" s="49" customFormat="1" ht="12.75" x14ac:dyDescent="0.2">
      <c r="A260" s="53"/>
      <c r="D260" s="54"/>
      <c r="E260" s="55"/>
      <c r="F260" s="56"/>
      <c r="H260" s="56"/>
      <c r="I260" s="100"/>
      <c r="K260" s="100"/>
      <c r="L260" s="100"/>
      <c r="M260" s="100"/>
      <c r="N260" s="54"/>
      <c r="Q260" s="107"/>
      <c r="R260" s="107"/>
    </row>
    <row r="261" spans="1:18" s="49" customFormat="1" ht="12.75" x14ac:dyDescent="0.2">
      <c r="A261" s="53"/>
      <c r="D261" s="54"/>
      <c r="E261" s="55"/>
      <c r="F261" s="56"/>
      <c r="H261" s="56"/>
      <c r="I261" s="100"/>
      <c r="K261" s="100"/>
      <c r="L261" s="100"/>
      <c r="M261" s="100"/>
      <c r="N261" s="54"/>
      <c r="Q261" s="107"/>
      <c r="R261" s="107"/>
    </row>
    <row r="262" spans="1:18" s="49" customFormat="1" ht="12.75" x14ac:dyDescent="0.2">
      <c r="A262" s="53"/>
      <c r="D262" s="54"/>
      <c r="E262" s="55"/>
      <c r="F262" s="56"/>
      <c r="H262" s="56"/>
      <c r="I262" s="100"/>
      <c r="K262" s="100"/>
      <c r="L262" s="100"/>
      <c r="M262" s="100"/>
      <c r="N262" s="54"/>
      <c r="Q262" s="107"/>
      <c r="R262" s="107"/>
    </row>
    <row r="263" spans="1:18" s="49" customFormat="1" ht="12.75" x14ac:dyDescent="0.2">
      <c r="A263" s="53"/>
      <c r="D263" s="54"/>
      <c r="E263" s="55"/>
      <c r="F263" s="56"/>
      <c r="H263" s="56"/>
      <c r="I263" s="100"/>
      <c r="K263" s="100"/>
      <c r="L263" s="100"/>
      <c r="M263" s="100"/>
      <c r="N263" s="54"/>
      <c r="Q263" s="107"/>
      <c r="R263" s="107"/>
    </row>
    <row r="264" spans="1:18" s="49" customFormat="1" ht="12.75" x14ac:dyDescent="0.2">
      <c r="A264" s="53"/>
      <c r="D264" s="54"/>
      <c r="E264" s="55"/>
      <c r="F264" s="56"/>
      <c r="H264" s="56"/>
      <c r="I264" s="100"/>
      <c r="K264" s="100"/>
      <c r="L264" s="100"/>
      <c r="M264" s="100"/>
      <c r="N264" s="54"/>
      <c r="Q264" s="107"/>
      <c r="R264" s="107"/>
    </row>
    <row r="265" spans="1:18" s="49" customFormat="1" ht="12.75" x14ac:dyDescent="0.2">
      <c r="A265" s="53"/>
      <c r="D265" s="54"/>
      <c r="E265" s="55"/>
      <c r="F265" s="56"/>
      <c r="H265" s="56"/>
      <c r="I265" s="100"/>
      <c r="K265" s="100"/>
      <c r="L265" s="100"/>
      <c r="M265" s="100"/>
      <c r="N265" s="54"/>
      <c r="Q265" s="107"/>
      <c r="R265" s="107"/>
    </row>
    <row r="266" spans="1:18" s="49" customFormat="1" ht="12.75" x14ac:dyDescent="0.2">
      <c r="A266" s="53"/>
      <c r="D266" s="54"/>
      <c r="E266" s="55"/>
      <c r="F266" s="56"/>
      <c r="H266" s="56"/>
      <c r="I266" s="100"/>
      <c r="K266" s="100"/>
      <c r="L266" s="100"/>
      <c r="M266" s="100"/>
      <c r="N266" s="54"/>
      <c r="Q266" s="107"/>
      <c r="R266" s="107"/>
    </row>
    <row r="267" spans="1:18" s="49" customFormat="1" ht="12.75" x14ac:dyDescent="0.2">
      <c r="A267" s="53"/>
      <c r="D267" s="54"/>
      <c r="E267" s="55"/>
      <c r="F267" s="56"/>
      <c r="H267" s="56"/>
      <c r="I267" s="100"/>
      <c r="K267" s="100"/>
      <c r="L267" s="100"/>
      <c r="M267" s="100"/>
      <c r="N267" s="54"/>
      <c r="Q267" s="107"/>
      <c r="R267" s="107"/>
    </row>
    <row r="268" spans="1:18" s="49" customFormat="1" ht="12.75" x14ac:dyDescent="0.2">
      <c r="A268" s="53"/>
      <c r="D268" s="54"/>
      <c r="E268" s="55"/>
      <c r="F268" s="56"/>
      <c r="H268" s="56"/>
      <c r="I268" s="100"/>
      <c r="K268" s="100"/>
      <c r="L268" s="100"/>
      <c r="M268" s="100"/>
      <c r="N268" s="54"/>
      <c r="Q268" s="107"/>
      <c r="R268" s="107"/>
    </row>
    <row r="269" spans="1:18" s="49" customFormat="1" ht="12.75" x14ac:dyDescent="0.2">
      <c r="A269" s="53"/>
      <c r="D269" s="54"/>
      <c r="E269" s="55"/>
      <c r="F269" s="56"/>
      <c r="H269" s="56"/>
      <c r="I269" s="100"/>
      <c r="K269" s="100"/>
      <c r="L269" s="100"/>
      <c r="M269" s="100"/>
      <c r="N269" s="54"/>
      <c r="Q269" s="107"/>
      <c r="R269" s="107"/>
    </row>
    <row r="270" spans="1:18" s="49" customFormat="1" ht="12.75" x14ac:dyDescent="0.2">
      <c r="A270" s="53"/>
      <c r="D270" s="54"/>
      <c r="E270" s="55"/>
      <c r="F270" s="56"/>
      <c r="H270" s="56"/>
      <c r="I270" s="100"/>
      <c r="K270" s="100"/>
      <c r="L270" s="100"/>
      <c r="M270" s="100"/>
      <c r="N270" s="54"/>
      <c r="Q270" s="107"/>
      <c r="R270" s="107"/>
    </row>
    <row r="271" spans="1:18" s="49" customFormat="1" ht="12.75" x14ac:dyDescent="0.2">
      <c r="A271" s="53"/>
      <c r="D271" s="54"/>
      <c r="E271" s="55"/>
      <c r="F271" s="56"/>
      <c r="H271" s="56"/>
      <c r="I271" s="100"/>
      <c r="K271" s="100"/>
      <c r="L271" s="100"/>
      <c r="M271" s="100"/>
      <c r="N271" s="54"/>
      <c r="Q271" s="107"/>
      <c r="R271" s="107"/>
    </row>
    <row r="272" spans="1:18" s="49" customFormat="1" ht="12.75" x14ac:dyDescent="0.2">
      <c r="A272" s="53"/>
      <c r="D272" s="54"/>
      <c r="E272" s="55"/>
      <c r="F272" s="56"/>
      <c r="H272" s="56"/>
      <c r="I272" s="100"/>
      <c r="K272" s="100"/>
      <c r="L272" s="100"/>
      <c r="M272" s="100"/>
      <c r="N272" s="54"/>
      <c r="Q272" s="107"/>
      <c r="R272" s="107"/>
    </row>
    <row r="273" spans="1:18" s="49" customFormat="1" ht="12.75" x14ac:dyDescent="0.2">
      <c r="A273" s="53"/>
      <c r="D273" s="54"/>
      <c r="E273" s="55"/>
      <c r="F273" s="56"/>
      <c r="H273" s="56"/>
      <c r="I273" s="100"/>
      <c r="K273" s="100"/>
      <c r="L273" s="100"/>
      <c r="M273" s="100"/>
      <c r="N273" s="54"/>
      <c r="Q273" s="107"/>
      <c r="R273" s="107"/>
    </row>
    <row r="274" spans="1:18" s="49" customFormat="1" ht="12.75" x14ac:dyDescent="0.2">
      <c r="A274" s="53"/>
      <c r="D274" s="54"/>
      <c r="E274" s="55"/>
      <c r="F274" s="56"/>
      <c r="H274" s="56"/>
      <c r="I274" s="100"/>
      <c r="K274" s="100"/>
      <c r="L274" s="100"/>
      <c r="M274" s="100"/>
      <c r="N274" s="54"/>
      <c r="Q274" s="107"/>
      <c r="R274" s="107"/>
    </row>
    <row r="275" spans="1:18" s="49" customFormat="1" ht="12.75" x14ac:dyDescent="0.2">
      <c r="A275" s="53"/>
      <c r="D275" s="54"/>
      <c r="E275" s="55"/>
      <c r="F275" s="56"/>
      <c r="H275" s="56"/>
      <c r="I275" s="100"/>
      <c r="K275" s="100"/>
      <c r="L275" s="100"/>
      <c r="M275" s="100"/>
      <c r="N275" s="54"/>
      <c r="Q275" s="107"/>
      <c r="R275" s="107"/>
    </row>
    <row r="276" spans="1:18" s="49" customFormat="1" ht="12.75" x14ac:dyDescent="0.2">
      <c r="A276" s="53"/>
      <c r="D276" s="54"/>
      <c r="E276" s="55"/>
      <c r="F276" s="56"/>
      <c r="H276" s="56"/>
      <c r="I276" s="100"/>
      <c r="K276" s="100"/>
      <c r="L276" s="100"/>
      <c r="M276" s="100"/>
      <c r="N276" s="54"/>
      <c r="Q276" s="107"/>
      <c r="R276" s="107"/>
    </row>
    <row r="277" spans="1:18" s="49" customFormat="1" ht="12.75" x14ac:dyDescent="0.2">
      <c r="A277" s="53"/>
      <c r="D277" s="54"/>
      <c r="E277" s="55"/>
      <c r="F277" s="56"/>
      <c r="H277" s="56"/>
      <c r="I277" s="100"/>
      <c r="K277" s="100"/>
      <c r="L277" s="100"/>
      <c r="M277" s="100"/>
      <c r="N277" s="54"/>
      <c r="Q277" s="107"/>
      <c r="R277" s="107"/>
    </row>
    <row r="278" spans="1:18" s="49" customFormat="1" ht="12.75" x14ac:dyDescent="0.2">
      <c r="A278" s="53"/>
      <c r="D278" s="54"/>
      <c r="E278" s="55"/>
      <c r="F278" s="56"/>
      <c r="H278" s="56"/>
      <c r="I278" s="100"/>
      <c r="K278" s="100"/>
      <c r="L278" s="100"/>
      <c r="M278" s="100"/>
      <c r="N278" s="54"/>
      <c r="Q278" s="107"/>
      <c r="R278" s="107"/>
    </row>
    <row r="279" spans="1:18" s="49" customFormat="1" ht="12.75" x14ac:dyDescent="0.2">
      <c r="A279" s="53"/>
      <c r="D279" s="54"/>
      <c r="E279" s="55"/>
      <c r="F279" s="56"/>
      <c r="H279" s="56"/>
      <c r="I279" s="100"/>
      <c r="K279" s="100"/>
      <c r="L279" s="100"/>
      <c r="M279" s="100"/>
      <c r="N279" s="54"/>
      <c r="Q279" s="107"/>
      <c r="R279" s="107"/>
    </row>
    <row r="280" spans="1:18" s="49" customFormat="1" ht="12.75" x14ac:dyDescent="0.2">
      <c r="A280" s="53"/>
      <c r="D280" s="54"/>
      <c r="E280" s="55"/>
      <c r="F280" s="56"/>
      <c r="H280" s="56"/>
      <c r="I280" s="100"/>
      <c r="K280" s="100"/>
      <c r="L280" s="100"/>
      <c r="M280" s="100"/>
      <c r="N280" s="54"/>
      <c r="Q280" s="107"/>
      <c r="R280" s="107"/>
    </row>
    <row r="281" spans="1:18" s="49" customFormat="1" ht="12.75" x14ac:dyDescent="0.2">
      <c r="A281" s="53"/>
      <c r="D281" s="54"/>
      <c r="E281" s="55"/>
      <c r="F281" s="56"/>
      <c r="H281" s="56"/>
      <c r="I281" s="100"/>
      <c r="K281" s="100"/>
      <c r="L281" s="100"/>
      <c r="M281" s="100"/>
      <c r="N281" s="54"/>
      <c r="Q281" s="107"/>
      <c r="R281" s="107"/>
    </row>
    <row r="282" spans="1:18" s="49" customFormat="1" ht="12.75" x14ac:dyDescent="0.2">
      <c r="A282" s="53"/>
      <c r="D282" s="54"/>
      <c r="E282" s="55"/>
      <c r="F282" s="56"/>
      <c r="H282" s="56"/>
      <c r="I282" s="100"/>
      <c r="K282" s="100"/>
      <c r="L282" s="100"/>
      <c r="M282" s="100"/>
      <c r="N282" s="54"/>
      <c r="Q282" s="107"/>
      <c r="R282" s="107"/>
    </row>
    <row r="283" spans="1:18" s="49" customFormat="1" ht="12.75" x14ac:dyDescent="0.2">
      <c r="A283" s="53"/>
      <c r="D283" s="54"/>
      <c r="E283" s="55"/>
      <c r="F283" s="56"/>
      <c r="H283" s="56"/>
      <c r="I283" s="100"/>
      <c r="K283" s="100"/>
      <c r="L283" s="100"/>
      <c r="M283" s="100"/>
      <c r="N283" s="54"/>
      <c r="Q283" s="107"/>
      <c r="R283" s="107"/>
    </row>
    <row r="284" spans="1:18" s="49" customFormat="1" ht="12.75" x14ac:dyDescent="0.2">
      <c r="A284" s="53"/>
      <c r="D284" s="54"/>
      <c r="E284" s="55"/>
      <c r="F284" s="56"/>
      <c r="H284" s="56"/>
      <c r="I284" s="100"/>
      <c r="K284" s="100"/>
      <c r="L284" s="100"/>
      <c r="M284" s="100"/>
      <c r="N284" s="54"/>
      <c r="Q284" s="107"/>
      <c r="R284" s="107"/>
    </row>
    <row r="285" spans="1:18" s="49" customFormat="1" ht="12.75" x14ac:dyDescent="0.2">
      <c r="A285" s="53"/>
      <c r="D285" s="54"/>
      <c r="E285" s="55"/>
      <c r="F285" s="56"/>
      <c r="H285" s="56"/>
      <c r="I285" s="100"/>
      <c r="K285" s="100"/>
      <c r="L285" s="100"/>
      <c r="M285" s="100"/>
      <c r="N285" s="54"/>
      <c r="Q285" s="107"/>
      <c r="R285" s="107"/>
    </row>
    <row r="286" spans="1:18" s="49" customFormat="1" ht="12.75" x14ac:dyDescent="0.2">
      <c r="A286" s="53"/>
      <c r="D286" s="54"/>
      <c r="E286" s="55"/>
      <c r="F286" s="56"/>
      <c r="H286" s="56"/>
      <c r="I286" s="100"/>
      <c r="K286" s="100"/>
      <c r="L286" s="100"/>
      <c r="M286" s="100"/>
      <c r="N286" s="54"/>
      <c r="Q286" s="107"/>
      <c r="R286" s="107"/>
    </row>
    <row r="287" spans="1:18" s="49" customFormat="1" ht="12.75" x14ac:dyDescent="0.2">
      <c r="A287" s="53"/>
      <c r="D287" s="54"/>
      <c r="E287" s="55"/>
      <c r="F287" s="56"/>
      <c r="H287" s="56"/>
      <c r="I287" s="100"/>
      <c r="K287" s="100"/>
      <c r="L287" s="100"/>
      <c r="M287" s="100"/>
      <c r="N287" s="54"/>
      <c r="Q287" s="107"/>
      <c r="R287" s="107"/>
    </row>
    <row r="288" spans="1:18" s="49" customFormat="1" ht="12.75" x14ac:dyDescent="0.2">
      <c r="A288" s="53"/>
      <c r="D288" s="54"/>
      <c r="E288" s="55"/>
      <c r="F288" s="56"/>
      <c r="H288" s="56"/>
      <c r="I288" s="100"/>
      <c r="K288" s="100"/>
      <c r="L288" s="100"/>
      <c r="M288" s="100"/>
      <c r="N288" s="54"/>
      <c r="Q288" s="107"/>
      <c r="R288" s="107"/>
    </row>
    <row r="289" spans="1:18" s="49" customFormat="1" ht="12.75" x14ac:dyDescent="0.2">
      <c r="A289" s="53"/>
      <c r="D289" s="54"/>
      <c r="E289" s="55"/>
      <c r="F289" s="56"/>
      <c r="H289" s="56"/>
      <c r="I289" s="100"/>
      <c r="K289" s="100"/>
      <c r="L289" s="100"/>
      <c r="M289" s="100"/>
      <c r="N289" s="54"/>
      <c r="Q289" s="107"/>
      <c r="R289" s="107"/>
    </row>
    <row r="290" spans="1:18" s="49" customFormat="1" ht="12.75" x14ac:dyDescent="0.2">
      <c r="A290" s="53"/>
      <c r="D290" s="54"/>
      <c r="E290" s="55"/>
      <c r="F290" s="56"/>
      <c r="H290" s="56"/>
      <c r="I290" s="100"/>
      <c r="K290" s="100"/>
      <c r="L290" s="100"/>
      <c r="M290" s="100"/>
      <c r="N290" s="54"/>
      <c r="Q290" s="107"/>
      <c r="R290" s="107"/>
    </row>
    <row r="291" spans="1:18" s="49" customFormat="1" ht="12.75" x14ac:dyDescent="0.2">
      <c r="A291" s="53"/>
      <c r="D291" s="54"/>
      <c r="E291" s="55"/>
      <c r="F291" s="56"/>
      <c r="H291" s="56"/>
      <c r="I291" s="100"/>
      <c r="K291" s="100"/>
      <c r="L291" s="100"/>
      <c r="M291" s="100"/>
      <c r="N291" s="54"/>
      <c r="Q291" s="107"/>
      <c r="R291" s="107"/>
    </row>
    <row r="292" spans="1:18" s="49" customFormat="1" ht="12.75" x14ac:dyDescent="0.2">
      <c r="A292" s="53"/>
      <c r="D292" s="54"/>
      <c r="E292" s="55"/>
      <c r="F292" s="56"/>
      <c r="H292" s="56"/>
      <c r="I292" s="100"/>
      <c r="K292" s="100"/>
      <c r="L292" s="100"/>
      <c r="M292" s="100"/>
      <c r="N292" s="54"/>
      <c r="Q292" s="107"/>
      <c r="R292" s="107"/>
    </row>
    <row r="293" spans="1:18" s="49" customFormat="1" ht="12.75" x14ac:dyDescent="0.2">
      <c r="A293" s="53"/>
      <c r="D293" s="54"/>
      <c r="E293" s="55"/>
      <c r="F293" s="56"/>
      <c r="H293" s="56"/>
      <c r="I293" s="100"/>
      <c r="K293" s="100"/>
      <c r="L293" s="100"/>
      <c r="M293" s="100"/>
      <c r="N293" s="54"/>
      <c r="Q293" s="107"/>
      <c r="R293" s="107"/>
    </row>
    <row r="294" spans="1:18" s="49" customFormat="1" ht="12.75" x14ac:dyDescent="0.2">
      <c r="A294" s="53"/>
      <c r="D294" s="54"/>
      <c r="E294" s="55"/>
      <c r="F294" s="56"/>
      <c r="H294" s="56"/>
      <c r="I294" s="100"/>
      <c r="K294" s="100"/>
      <c r="L294" s="100"/>
      <c r="M294" s="100"/>
      <c r="N294" s="54"/>
      <c r="Q294" s="107"/>
      <c r="R294" s="107"/>
    </row>
    <row r="295" spans="1:18" s="49" customFormat="1" ht="12.75" x14ac:dyDescent="0.2">
      <c r="A295" s="53"/>
      <c r="D295" s="54"/>
      <c r="E295" s="55"/>
      <c r="F295" s="56"/>
      <c r="H295" s="56"/>
      <c r="I295" s="100"/>
      <c r="K295" s="100"/>
      <c r="L295" s="100"/>
      <c r="M295" s="100"/>
      <c r="N295" s="54"/>
      <c r="Q295" s="107"/>
      <c r="R295" s="107"/>
    </row>
    <row r="296" spans="1:18" s="49" customFormat="1" ht="12.75" x14ac:dyDescent="0.2">
      <c r="A296" s="53"/>
      <c r="D296" s="54"/>
      <c r="E296" s="55"/>
      <c r="F296" s="56"/>
      <c r="H296" s="56"/>
      <c r="I296" s="100"/>
      <c r="K296" s="100"/>
      <c r="L296" s="100"/>
      <c r="M296" s="100"/>
      <c r="N296" s="54"/>
      <c r="Q296" s="107"/>
      <c r="R296" s="107"/>
    </row>
    <row r="297" spans="1:18" s="49" customFormat="1" ht="12.75" x14ac:dyDescent="0.2">
      <c r="A297" s="53"/>
      <c r="D297" s="54"/>
      <c r="E297" s="55"/>
      <c r="F297" s="56"/>
      <c r="H297" s="56"/>
      <c r="I297" s="100"/>
      <c r="K297" s="100"/>
      <c r="L297" s="100"/>
      <c r="M297" s="100"/>
      <c r="N297" s="54"/>
      <c r="Q297" s="107"/>
      <c r="R297" s="107"/>
    </row>
    <row r="298" spans="1:18" s="49" customFormat="1" ht="12.75" x14ac:dyDescent="0.2">
      <c r="A298" s="53"/>
      <c r="D298" s="54"/>
      <c r="E298" s="55"/>
      <c r="F298" s="56"/>
      <c r="H298" s="56"/>
      <c r="I298" s="100"/>
      <c r="K298" s="100"/>
      <c r="L298" s="100"/>
      <c r="M298" s="100"/>
      <c r="N298" s="54"/>
      <c r="Q298" s="107"/>
      <c r="R298" s="107"/>
    </row>
    <row r="299" spans="1:18" s="49" customFormat="1" ht="12.75" x14ac:dyDescent="0.2">
      <c r="A299" s="53"/>
      <c r="D299" s="54"/>
      <c r="E299" s="55"/>
      <c r="F299" s="56"/>
      <c r="H299" s="56"/>
      <c r="I299" s="100"/>
      <c r="K299" s="100"/>
      <c r="L299" s="100"/>
      <c r="M299" s="100"/>
      <c r="N299" s="54"/>
      <c r="Q299" s="107"/>
      <c r="R299" s="107"/>
    </row>
    <row r="300" spans="1:18" s="49" customFormat="1" ht="12.75" x14ac:dyDescent="0.2">
      <c r="A300" s="53"/>
      <c r="D300" s="54"/>
      <c r="E300" s="55"/>
      <c r="F300" s="56"/>
      <c r="H300" s="56"/>
      <c r="I300" s="100"/>
      <c r="K300" s="100"/>
      <c r="L300" s="100"/>
      <c r="M300" s="100"/>
      <c r="N300" s="54"/>
      <c r="Q300" s="107"/>
      <c r="R300" s="107"/>
    </row>
    <row r="301" spans="1:18" s="49" customFormat="1" ht="12.75" x14ac:dyDescent="0.2">
      <c r="A301" s="53"/>
      <c r="D301" s="54"/>
      <c r="E301" s="55"/>
      <c r="F301" s="56"/>
      <c r="H301" s="56"/>
      <c r="I301" s="100"/>
      <c r="K301" s="100"/>
      <c r="L301" s="100"/>
      <c r="M301" s="100"/>
      <c r="N301" s="54"/>
      <c r="Q301" s="107"/>
      <c r="R301" s="107"/>
    </row>
    <row r="302" spans="1:18" s="49" customFormat="1" ht="12.75" x14ac:dyDescent="0.2">
      <c r="A302" s="53"/>
      <c r="D302" s="54"/>
      <c r="E302" s="55"/>
      <c r="F302" s="56"/>
      <c r="H302" s="56"/>
      <c r="I302" s="100"/>
      <c r="K302" s="100"/>
      <c r="L302" s="100"/>
      <c r="M302" s="100"/>
      <c r="N302" s="54"/>
      <c r="Q302" s="107"/>
      <c r="R302" s="107"/>
    </row>
    <row r="303" spans="1:18" s="49" customFormat="1" ht="12.75" x14ac:dyDescent="0.2">
      <c r="A303" s="53"/>
      <c r="D303" s="54"/>
      <c r="E303" s="55"/>
      <c r="F303" s="56"/>
      <c r="H303" s="56"/>
      <c r="I303" s="100"/>
      <c r="K303" s="100"/>
      <c r="L303" s="100"/>
      <c r="M303" s="100"/>
      <c r="N303" s="54"/>
      <c r="Q303" s="107"/>
      <c r="R303" s="107"/>
    </row>
    <row r="304" spans="1:18" s="49" customFormat="1" ht="12.75" x14ac:dyDescent="0.2">
      <c r="A304" s="53"/>
      <c r="D304" s="54"/>
      <c r="E304" s="55"/>
      <c r="F304" s="56"/>
      <c r="H304" s="56"/>
      <c r="I304" s="100"/>
      <c r="K304" s="100"/>
      <c r="L304" s="100"/>
      <c r="M304" s="100"/>
      <c r="N304" s="54"/>
      <c r="Q304" s="107"/>
      <c r="R304" s="107"/>
    </row>
    <row r="305" spans="1:18" s="49" customFormat="1" ht="12.75" x14ac:dyDescent="0.2">
      <c r="A305" s="53"/>
      <c r="D305" s="54"/>
      <c r="E305" s="55"/>
      <c r="F305" s="56"/>
      <c r="H305" s="56"/>
      <c r="I305" s="100"/>
      <c r="K305" s="100"/>
      <c r="L305" s="100"/>
      <c r="M305" s="100"/>
      <c r="N305" s="54"/>
      <c r="Q305" s="107"/>
      <c r="R305" s="107"/>
    </row>
    <row r="306" spans="1:18" s="49" customFormat="1" ht="12.75" x14ac:dyDescent="0.2">
      <c r="A306" s="53"/>
      <c r="D306" s="54"/>
      <c r="E306" s="55"/>
      <c r="F306" s="56"/>
      <c r="H306" s="56"/>
      <c r="I306" s="100"/>
      <c r="K306" s="100"/>
      <c r="L306" s="100"/>
      <c r="M306" s="100"/>
      <c r="N306" s="54"/>
      <c r="Q306" s="107"/>
      <c r="R306" s="107"/>
    </row>
    <row r="307" spans="1:18" s="49" customFormat="1" ht="12.75" x14ac:dyDescent="0.2">
      <c r="A307" s="53"/>
      <c r="D307" s="54"/>
      <c r="E307" s="55"/>
      <c r="F307" s="56"/>
      <c r="H307" s="56"/>
      <c r="I307" s="100"/>
      <c r="K307" s="100"/>
      <c r="L307" s="100"/>
      <c r="M307" s="100"/>
      <c r="N307" s="54"/>
      <c r="Q307" s="107"/>
      <c r="R307" s="107"/>
    </row>
    <row r="308" spans="1:18" s="49" customFormat="1" ht="12.75" x14ac:dyDescent="0.2">
      <c r="A308" s="53"/>
      <c r="D308" s="54"/>
      <c r="E308" s="55"/>
      <c r="F308" s="56"/>
      <c r="H308" s="56"/>
      <c r="I308" s="100"/>
      <c r="K308" s="100"/>
      <c r="L308" s="100"/>
      <c r="M308" s="100"/>
      <c r="N308" s="54"/>
      <c r="Q308" s="107"/>
      <c r="R308" s="107"/>
    </row>
    <row r="309" spans="1:18" s="49" customFormat="1" ht="12.75" x14ac:dyDescent="0.2">
      <c r="A309" s="53"/>
      <c r="D309" s="54"/>
      <c r="E309" s="55"/>
      <c r="F309" s="56"/>
      <c r="H309" s="56"/>
      <c r="I309" s="100"/>
      <c r="K309" s="100"/>
      <c r="L309" s="100"/>
      <c r="M309" s="100"/>
      <c r="N309" s="54"/>
      <c r="Q309" s="107"/>
      <c r="R309" s="107"/>
    </row>
    <row r="310" spans="1:18" s="49" customFormat="1" ht="12.75" x14ac:dyDescent="0.2">
      <c r="A310" s="53"/>
      <c r="D310" s="54"/>
      <c r="E310" s="55"/>
      <c r="F310" s="56"/>
      <c r="H310" s="56"/>
      <c r="I310" s="100"/>
      <c r="K310" s="100"/>
      <c r="L310" s="100"/>
      <c r="M310" s="100"/>
      <c r="N310" s="54"/>
      <c r="Q310" s="107"/>
      <c r="R310" s="107"/>
    </row>
    <row r="311" spans="1:18" s="49" customFormat="1" ht="12.75" x14ac:dyDescent="0.2">
      <c r="A311" s="53"/>
      <c r="D311" s="54"/>
      <c r="E311" s="55"/>
      <c r="F311" s="56"/>
      <c r="H311" s="56"/>
      <c r="I311" s="100"/>
      <c r="K311" s="100"/>
      <c r="L311" s="100"/>
      <c r="M311" s="100"/>
      <c r="N311" s="54"/>
      <c r="Q311" s="107"/>
      <c r="R311" s="107"/>
    </row>
    <row r="312" spans="1:18" s="49" customFormat="1" ht="12.75" x14ac:dyDescent="0.2">
      <c r="A312" s="53"/>
      <c r="D312" s="54"/>
      <c r="E312" s="55"/>
      <c r="F312" s="56"/>
      <c r="H312" s="56"/>
      <c r="I312" s="100"/>
      <c r="K312" s="100"/>
      <c r="L312" s="100"/>
      <c r="M312" s="100"/>
      <c r="N312" s="54"/>
      <c r="Q312" s="107"/>
      <c r="R312" s="107"/>
    </row>
    <row r="313" spans="1:18" s="49" customFormat="1" ht="12.75" x14ac:dyDescent="0.2">
      <c r="A313" s="53"/>
      <c r="D313" s="54"/>
      <c r="E313" s="55"/>
      <c r="F313" s="56"/>
      <c r="H313" s="56"/>
      <c r="I313" s="100"/>
      <c r="K313" s="100"/>
      <c r="L313" s="100"/>
      <c r="M313" s="100"/>
      <c r="N313" s="54"/>
      <c r="Q313" s="107"/>
      <c r="R313" s="107"/>
    </row>
    <row r="314" spans="1:18" s="49" customFormat="1" ht="12.75" x14ac:dyDescent="0.2">
      <c r="A314" s="53"/>
      <c r="D314" s="54"/>
      <c r="E314" s="55"/>
      <c r="F314" s="56"/>
      <c r="H314" s="56"/>
      <c r="I314" s="100"/>
      <c r="K314" s="100"/>
      <c r="L314" s="100"/>
      <c r="M314" s="100"/>
      <c r="N314" s="54"/>
      <c r="Q314" s="107"/>
      <c r="R314" s="107"/>
    </row>
    <row r="315" spans="1:18" s="49" customFormat="1" ht="12.75" x14ac:dyDescent="0.2">
      <c r="A315" s="53"/>
      <c r="D315" s="54"/>
      <c r="E315" s="55"/>
      <c r="F315" s="56"/>
      <c r="H315" s="56"/>
      <c r="I315" s="100"/>
      <c r="K315" s="100"/>
      <c r="L315" s="100"/>
      <c r="M315" s="100"/>
      <c r="N315" s="54"/>
      <c r="Q315" s="107"/>
      <c r="R315" s="107"/>
    </row>
    <row r="316" spans="1:18" s="49" customFormat="1" ht="12.75" x14ac:dyDescent="0.2">
      <c r="A316" s="53"/>
      <c r="D316" s="54"/>
      <c r="E316" s="55"/>
      <c r="F316" s="56"/>
      <c r="H316" s="56"/>
      <c r="I316" s="100"/>
      <c r="K316" s="100"/>
      <c r="L316" s="100"/>
      <c r="M316" s="100"/>
      <c r="N316" s="54"/>
      <c r="Q316" s="107"/>
      <c r="R316" s="107"/>
    </row>
    <row r="317" spans="1:18" s="49" customFormat="1" ht="12.75" x14ac:dyDescent="0.2">
      <c r="A317" s="53"/>
      <c r="D317" s="54"/>
      <c r="E317" s="55"/>
      <c r="F317" s="56"/>
      <c r="H317" s="56"/>
      <c r="I317" s="100"/>
      <c r="K317" s="100"/>
      <c r="L317" s="100"/>
      <c r="M317" s="100"/>
      <c r="N317" s="54"/>
      <c r="Q317" s="107"/>
      <c r="R317" s="107"/>
    </row>
    <row r="318" spans="1:18" s="49" customFormat="1" ht="12.75" x14ac:dyDescent="0.2">
      <c r="A318" s="53"/>
      <c r="D318" s="54"/>
      <c r="E318" s="55"/>
      <c r="F318" s="56"/>
      <c r="H318" s="56"/>
      <c r="I318" s="100"/>
      <c r="K318" s="100"/>
      <c r="L318" s="100"/>
      <c r="M318" s="100"/>
      <c r="N318" s="54"/>
      <c r="Q318" s="107"/>
      <c r="R318" s="107"/>
    </row>
    <row r="319" spans="1:18" s="49" customFormat="1" ht="12.75" x14ac:dyDescent="0.2">
      <c r="A319" s="53"/>
      <c r="D319" s="54"/>
      <c r="E319" s="55"/>
      <c r="F319" s="56"/>
      <c r="H319" s="56"/>
      <c r="I319" s="100"/>
      <c r="K319" s="100"/>
      <c r="L319" s="100"/>
      <c r="M319" s="100"/>
      <c r="N319" s="54"/>
      <c r="Q319" s="107"/>
      <c r="R319" s="107"/>
    </row>
    <row r="320" spans="1:18" s="49" customFormat="1" ht="12.75" x14ac:dyDescent="0.2">
      <c r="A320" s="53"/>
      <c r="D320" s="54"/>
      <c r="E320" s="55"/>
      <c r="F320" s="56"/>
      <c r="H320" s="56"/>
      <c r="I320" s="100"/>
      <c r="K320" s="100"/>
      <c r="L320" s="100"/>
      <c r="M320" s="100"/>
      <c r="N320" s="54"/>
      <c r="Q320" s="107"/>
      <c r="R320" s="107"/>
    </row>
    <row r="321" spans="1:18" s="49" customFormat="1" ht="12.75" x14ac:dyDescent="0.2">
      <c r="A321" s="53"/>
      <c r="D321" s="54"/>
      <c r="E321" s="55"/>
      <c r="F321" s="56"/>
      <c r="H321" s="56"/>
      <c r="I321" s="100"/>
      <c r="K321" s="100"/>
      <c r="L321" s="100"/>
      <c r="M321" s="100"/>
      <c r="N321" s="54"/>
      <c r="Q321" s="107"/>
      <c r="R321" s="107"/>
    </row>
    <row r="322" spans="1:18" s="49" customFormat="1" ht="12.75" x14ac:dyDescent="0.2">
      <c r="A322" s="53"/>
      <c r="D322" s="54"/>
      <c r="E322" s="55"/>
      <c r="F322" s="56"/>
      <c r="H322" s="56"/>
      <c r="I322" s="100"/>
      <c r="K322" s="100"/>
      <c r="L322" s="100"/>
      <c r="M322" s="100"/>
      <c r="N322" s="54"/>
      <c r="Q322" s="107"/>
      <c r="R322" s="107"/>
    </row>
    <row r="323" spans="1:18" s="49" customFormat="1" ht="12.75" x14ac:dyDescent="0.2">
      <c r="A323" s="53"/>
      <c r="D323" s="54"/>
      <c r="E323" s="55"/>
      <c r="F323" s="56"/>
      <c r="H323" s="56"/>
      <c r="I323" s="100"/>
      <c r="K323" s="100"/>
      <c r="L323" s="100"/>
      <c r="M323" s="100"/>
      <c r="N323" s="54"/>
      <c r="Q323" s="107"/>
      <c r="R323" s="107"/>
    </row>
    <row r="324" spans="1:18" s="49" customFormat="1" ht="12.75" x14ac:dyDescent="0.2">
      <c r="A324" s="53"/>
      <c r="D324" s="54"/>
      <c r="E324" s="55"/>
      <c r="F324" s="56"/>
      <c r="H324" s="56"/>
      <c r="I324" s="100"/>
      <c r="K324" s="100"/>
      <c r="L324" s="100"/>
      <c r="M324" s="100"/>
      <c r="N324" s="54"/>
      <c r="Q324" s="107"/>
      <c r="R324" s="107"/>
    </row>
    <row r="325" spans="1:18" s="49" customFormat="1" ht="12.75" x14ac:dyDescent="0.2">
      <c r="A325" s="53"/>
      <c r="D325" s="54"/>
      <c r="E325" s="55"/>
      <c r="F325" s="56"/>
      <c r="H325" s="56"/>
      <c r="I325" s="100"/>
      <c r="K325" s="100"/>
      <c r="L325" s="100"/>
      <c r="M325" s="100"/>
      <c r="N325" s="54"/>
      <c r="Q325" s="107"/>
      <c r="R325" s="107"/>
    </row>
    <row r="326" spans="1:18" s="49" customFormat="1" ht="12.75" x14ac:dyDescent="0.2">
      <c r="A326" s="53"/>
      <c r="D326" s="54"/>
      <c r="E326" s="55"/>
      <c r="F326" s="56"/>
      <c r="H326" s="56"/>
      <c r="I326" s="100"/>
      <c r="K326" s="100"/>
      <c r="L326" s="100"/>
      <c r="M326" s="100"/>
      <c r="N326" s="54"/>
      <c r="Q326" s="107"/>
      <c r="R326" s="107"/>
    </row>
    <row r="327" spans="1:18" s="49" customFormat="1" ht="12.75" x14ac:dyDescent="0.2">
      <c r="A327" s="53"/>
      <c r="D327" s="54"/>
      <c r="E327" s="55"/>
      <c r="F327" s="56"/>
      <c r="H327" s="56"/>
      <c r="I327" s="100"/>
      <c r="K327" s="100"/>
      <c r="L327" s="100"/>
      <c r="M327" s="100"/>
      <c r="N327" s="54"/>
      <c r="Q327" s="107"/>
      <c r="R327" s="107"/>
    </row>
    <row r="328" spans="1:18" s="49" customFormat="1" ht="12.75" x14ac:dyDescent="0.2">
      <c r="A328" s="53"/>
      <c r="D328" s="54"/>
      <c r="E328" s="55"/>
      <c r="F328" s="56"/>
      <c r="H328" s="56"/>
      <c r="I328" s="100"/>
      <c r="K328" s="100"/>
      <c r="L328" s="100"/>
      <c r="M328" s="100"/>
      <c r="N328" s="54"/>
      <c r="Q328" s="107"/>
      <c r="R328" s="107"/>
    </row>
    <row r="329" spans="1:18" s="49" customFormat="1" ht="12.75" x14ac:dyDescent="0.2">
      <c r="A329" s="53"/>
      <c r="D329" s="54"/>
      <c r="E329" s="55"/>
      <c r="F329" s="56"/>
      <c r="H329" s="56"/>
      <c r="I329" s="100"/>
      <c r="K329" s="100"/>
      <c r="L329" s="100"/>
      <c r="M329" s="100"/>
      <c r="N329" s="54"/>
      <c r="Q329" s="107"/>
      <c r="R329" s="107"/>
    </row>
    <row r="330" spans="1:18" s="49" customFormat="1" ht="12.75" x14ac:dyDescent="0.2">
      <c r="A330" s="53"/>
      <c r="D330" s="54"/>
      <c r="E330" s="55"/>
      <c r="F330" s="56"/>
      <c r="H330" s="56"/>
      <c r="I330" s="100"/>
      <c r="K330" s="100"/>
      <c r="L330" s="100"/>
      <c r="M330" s="100"/>
      <c r="N330" s="54"/>
      <c r="Q330" s="107"/>
      <c r="R330" s="107"/>
    </row>
    <row r="331" spans="1:18" s="49" customFormat="1" ht="12.75" x14ac:dyDescent="0.2">
      <c r="A331" s="53"/>
      <c r="D331" s="54"/>
      <c r="E331" s="55"/>
      <c r="F331" s="56"/>
      <c r="H331" s="56"/>
      <c r="I331" s="100"/>
      <c r="K331" s="100"/>
      <c r="L331" s="100"/>
      <c r="M331" s="100"/>
      <c r="N331" s="54"/>
      <c r="Q331" s="107"/>
      <c r="R331" s="107"/>
    </row>
    <row r="332" spans="1:18" s="49" customFormat="1" ht="12.75" x14ac:dyDescent="0.2">
      <c r="A332" s="53"/>
      <c r="D332" s="54"/>
      <c r="E332" s="55"/>
      <c r="F332" s="56"/>
      <c r="H332" s="56"/>
      <c r="I332" s="100"/>
      <c r="K332" s="100"/>
      <c r="L332" s="100"/>
      <c r="M332" s="100"/>
      <c r="N332" s="54"/>
      <c r="Q332" s="107"/>
      <c r="R332" s="107"/>
    </row>
    <row r="333" spans="1:18" s="49" customFormat="1" ht="12.75" x14ac:dyDescent="0.2">
      <c r="A333" s="53"/>
      <c r="D333" s="54"/>
      <c r="E333" s="55"/>
      <c r="F333" s="56"/>
      <c r="H333" s="56"/>
      <c r="I333" s="100"/>
      <c r="K333" s="100"/>
      <c r="L333" s="100"/>
      <c r="M333" s="100"/>
      <c r="N333" s="54"/>
      <c r="Q333" s="107"/>
      <c r="R333" s="107"/>
    </row>
    <row r="334" spans="1:18" s="49" customFormat="1" ht="12.75" x14ac:dyDescent="0.2">
      <c r="A334" s="53"/>
      <c r="D334" s="54"/>
      <c r="E334" s="55"/>
      <c r="F334" s="56"/>
      <c r="H334" s="56"/>
      <c r="I334" s="100"/>
      <c r="K334" s="100"/>
      <c r="L334" s="100"/>
      <c r="M334" s="100"/>
      <c r="N334" s="54"/>
      <c r="Q334" s="107"/>
      <c r="R334" s="107"/>
    </row>
    <row r="335" spans="1:18" s="49" customFormat="1" ht="12.75" x14ac:dyDescent="0.2">
      <c r="A335" s="53"/>
      <c r="D335" s="54"/>
      <c r="E335" s="55"/>
      <c r="F335" s="56"/>
      <c r="H335" s="56"/>
      <c r="I335" s="100"/>
      <c r="K335" s="100"/>
      <c r="L335" s="100"/>
      <c r="M335" s="100"/>
      <c r="N335" s="54"/>
      <c r="Q335" s="107"/>
      <c r="R335" s="107"/>
    </row>
    <row r="336" spans="1:18" s="49" customFormat="1" ht="12.75" x14ac:dyDescent="0.2">
      <c r="A336" s="53"/>
      <c r="D336" s="54"/>
      <c r="E336" s="55"/>
      <c r="F336" s="56"/>
      <c r="H336" s="56"/>
      <c r="I336" s="100"/>
      <c r="K336" s="100"/>
      <c r="L336" s="100"/>
      <c r="M336" s="100"/>
      <c r="N336" s="54"/>
      <c r="Q336" s="107"/>
      <c r="R336" s="107"/>
    </row>
    <row r="337" spans="1:18" s="49" customFormat="1" ht="12.75" x14ac:dyDescent="0.2">
      <c r="A337" s="53"/>
      <c r="D337" s="54"/>
      <c r="E337" s="55"/>
      <c r="F337" s="56"/>
      <c r="H337" s="56"/>
      <c r="I337" s="100"/>
      <c r="K337" s="100"/>
      <c r="L337" s="100"/>
      <c r="M337" s="100"/>
      <c r="N337" s="54"/>
      <c r="Q337" s="107"/>
      <c r="R337" s="107"/>
    </row>
    <row r="338" spans="1:18" s="49" customFormat="1" ht="12.75" x14ac:dyDescent="0.2">
      <c r="A338" s="53"/>
      <c r="D338" s="54"/>
      <c r="E338" s="55"/>
      <c r="F338" s="56"/>
      <c r="H338" s="56"/>
      <c r="I338" s="100"/>
      <c r="K338" s="100"/>
      <c r="L338" s="100"/>
      <c r="M338" s="100"/>
      <c r="N338" s="54"/>
      <c r="Q338" s="107"/>
      <c r="R338" s="107"/>
    </row>
    <row r="339" spans="1:18" s="49" customFormat="1" ht="12.75" x14ac:dyDescent="0.2">
      <c r="A339" s="53"/>
      <c r="D339" s="54"/>
      <c r="E339" s="55"/>
      <c r="F339" s="56"/>
      <c r="H339" s="56"/>
      <c r="I339" s="100"/>
      <c r="K339" s="100"/>
      <c r="L339" s="100"/>
      <c r="M339" s="100"/>
      <c r="N339" s="54"/>
      <c r="Q339" s="107"/>
      <c r="R339" s="107"/>
    </row>
    <row r="340" spans="1:18" s="49" customFormat="1" ht="12.75" x14ac:dyDescent="0.2">
      <c r="A340" s="53"/>
      <c r="D340" s="54"/>
      <c r="E340" s="55"/>
      <c r="F340" s="56"/>
      <c r="H340" s="56"/>
      <c r="I340" s="100"/>
      <c r="K340" s="100"/>
      <c r="L340" s="100"/>
      <c r="M340" s="100"/>
      <c r="N340" s="54"/>
      <c r="Q340" s="107"/>
      <c r="R340" s="107"/>
    </row>
    <row r="341" spans="1:18" s="49" customFormat="1" ht="12.75" x14ac:dyDescent="0.2">
      <c r="A341" s="53"/>
      <c r="D341" s="54"/>
      <c r="E341" s="55"/>
      <c r="F341" s="56"/>
      <c r="H341" s="56"/>
      <c r="I341" s="100"/>
      <c r="K341" s="100"/>
      <c r="L341" s="100"/>
      <c r="M341" s="100"/>
      <c r="N341" s="54"/>
      <c r="Q341" s="107"/>
      <c r="R341" s="107"/>
    </row>
    <row r="342" spans="1:18" s="49" customFormat="1" ht="12.75" x14ac:dyDescent="0.2">
      <c r="A342" s="53"/>
      <c r="D342" s="54"/>
      <c r="E342" s="55"/>
      <c r="F342" s="56"/>
      <c r="H342" s="56"/>
      <c r="I342" s="100"/>
      <c r="K342" s="100"/>
      <c r="L342" s="100"/>
      <c r="M342" s="100"/>
      <c r="N342" s="54"/>
      <c r="Q342" s="107"/>
      <c r="R342" s="107"/>
    </row>
    <row r="343" spans="1:18" s="49" customFormat="1" ht="12.75" x14ac:dyDescent="0.2">
      <c r="A343" s="53"/>
      <c r="D343" s="54"/>
      <c r="E343" s="55"/>
      <c r="F343" s="56"/>
      <c r="H343" s="56"/>
      <c r="I343" s="100"/>
      <c r="K343" s="100"/>
      <c r="L343" s="100"/>
      <c r="M343" s="100"/>
      <c r="N343" s="54"/>
      <c r="Q343" s="107"/>
      <c r="R343" s="107"/>
    </row>
    <row r="344" spans="1:18" s="49" customFormat="1" ht="12.75" x14ac:dyDescent="0.2">
      <c r="A344" s="53"/>
      <c r="D344" s="54"/>
      <c r="E344" s="55"/>
      <c r="F344" s="56"/>
      <c r="H344" s="56"/>
      <c r="I344" s="100"/>
      <c r="K344" s="100"/>
      <c r="L344" s="100"/>
      <c r="M344" s="100"/>
      <c r="N344" s="54"/>
      <c r="Q344" s="107"/>
      <c r="R344" s="107"/>
    </row>
    <row r="345" spans="1:18" s="49" customFormat="1" ht="12.75" x14ac:dyDescent="0.2">
      <c r="A345" s="53"/>
      <c r="D345" s="54"/>
      <c r="E345" s="55"/>
      <c r="F345" s="56"/>
      <c r="H345" s="56"/>
      <c r="I345" s="100"/>
      <c r="K345" s="100"/>
      <c r="L345" s="100"/>
      <c r="M345" s="100"/>
      <c r="N345" s="54"/>
      <c r="Q345" s="107"/>
      <c r="R345" s="107"/>
    </row>
    <row r="346" spans="1:18" s="49" customFormat="1" ht="12.75" x14ac:dyDescent="0.2">
      <c r="A346" s="53"/>
      <c r="D346" s="54"/>
      <c r="E346" s="55"/>
      <c r="F346" s="56"/>
      <c r="H346" s="56"/>
      <c r="I346" s="100"/>
      <c r="K346" s="100"/>
      <c r="L346" s="100"/>
      <c r="M346" s="100"/>
      <c r="N346" s="54"/>
      <c r="Q346" s="107"/>
      <c r="R346" s="107"/>
    </row>
    <row r="347" spans="1:18" s="49" customFormat="1" ht="12.75" x14ac:dyDescent="0.2">
      <c r="A347" s="53"/>
      <c r="D347" s="54"/>
      <c r="E347" s="55"/>
      <c r="F347" s="56"/>
      <c r="H347" s="56"/>
      <c r="I347" s="100"/>
      <c r="K347" s="100"/>
      <c r="L347" s="100"/>
      <c r="M347" s="100"/>
      <c r="N347" s="54"/>
      <c r="Q347" s="107"/>
      <c r="R347" s="107"/>
    </row>
    <row r="348" spans="1:18" s="49" customFormat="1" ht="12.75" x14ac:dyDescent="0.2">
      <c r="A348" s="53"/>
      <c r="D348" s="54"/>
      <c r="E348" s="55"/>
      <c r="F348" s="56"/>
      <c r="H348" s="56"/>
      <c r="I348" s="100"/>
      <c r="K348" s="100"/>
      <c r="L348" s="100"/>
      <c r="M348" s="100"/>
      <c r="N348" s="54"/>
      <c r="Q348" s="107"/>
      <c r="R348" s="107"/>
    </row>
    <row r="349" spans="1:18" s="49" customFormat="1" ht="12.75" x14ac:dyDescent="0.2">
      <c r="A349" s="53"/>
      <c r="D349" s="54"/>
      <c r="E349" s="55"/>
      <c r="F349" s="56"/>
      <c r="H349" s="56"/>
      <c r="I349" s="100"/>
      <c r="K349" s="100"/>
      <c r="L349" s="100"/>
      <c r="M349" s="100"/>
      <c r="N349" s="54"/>
      <c r="Q349" s="107"/>
      <c r="R349" s="107"/>
    </row>
    <row r="350" spans="1:18" s="49" customFormat="1" ht="12.75" x14ac:dyDescent="0.2">
      <c r="A350" s="53"/>
      <c r="D350" s="54"/>
      <c r="E350" s="55"/>
      <c r="F350" s="56"/>
      <c r="H350" s="56"/>
      <c r="I350" s="100"/>
      <c r="K350" s="100"/>
      <c r="L350" s="100"/>
      <c r="M350" s="100"/>
      <c r="N350" s="54"/>
      <c r="Q350" s="107"/>
      <c r="R350" s="107"/>
    </row>
    <row r="351" spans="1:18" s="49" customFormat="1" ht="12.75" x14ac:dyDescent="0.2">
      <c r="A351" s="53"/>
      <c r="D351" s="54"/>
      <c r="E351" s="55"/>
      <c r="F351" s="56"/>
      <c r="H351" s="56"/>
      <c r="I351" s="100"/>
      <c r="K351" s="100"/>
      <c r="L351" s="100"/>
      <c r="M351" s="100"/>
      <c r="N351" s="54"/>
      <c r="Q351" s="107"/>
      <c r="R351" s="107"/>
    </row>
    <row r="352" spans="1:18" s="49" customFormat="1" ht="12.75" x14ac:dyDescent="0.2">
      <c r="A352" s="53"/>
      <c r="D352" s="54"/>
      <c r="E352" s="55"/>
      <c r="F352" s="56"/>
      <c r="H352" s="56"/>
      <c r="I352" s="100"/>
      <c r="K352" s="100"/>
      <c r="L352" s="100"/>
      <c r="M352" s="100"/>
      <c r="N352" s="54"/>
      <c r="Q352" s="107"/>
      <c r="R352" s="107"/>
    </row>
    <row r="353" spans="1:18" s="49" customFormat="1" ht="12.75" x14ac:dyDescent="0.2">
      <c r="A353" s="53"/>
      <c r="D353" s="54"/>
      <c r="E353" s="55"/>
      <c r="F353" s="56"/>
      <c r="H353" s="56"/>
      <c r="I353" s="100"/>
      <c r="K353" s="100"/>
      <c r="L353" s="100"/>
      <c r="M353" s="100"/>
      <c r="N353" s="54"/>
      <c r="Q353" s="107"/>
      <c r="R353" s="107"/>
    </row>
    <row r="354" spans="1:18" s="49" customFormat="1" ht="12.75" x14ac:dyDescent="0.2">
      <c r="A354" s="53"/>
      <c r="D354" s="54"/>
      <c r="E354" s="55"/>
      <c r="F354" s="56"/>
      <c r="H354" s="56"/>
      <c r="I354" s="100"/>
      <c r="K354" s="100"/>
      <c r="L354" s="100"/>
      <c r="M354" s="100"/>
      <c r="N354" s="54"/>
      <c r="Q354" s="107"/>
      <c r="R354" s="107"/>
    </row>
    <row r="355" spans="1:18" s="49" customFormat="1" ht="12.75" x14ac:dyDescent="0.2">
      <c r="A355" s="53"/>
      <c r="D355" s="54"/>
      <c r="E355" s="55"/>
      <c r="F355" s="56"/>
      <c r="H355" s="56"/>
      <c r="I355" s="100"/>
      <c r="K355" s="100"/>
      <c r="L355" s="100"/>
      <c r="M355" s="100"/>
      <c r="N355" s="54"/>
      <c r="Q355" s="107"/>
      <c r="R355" s="107"/>
    </row>
    <row r="356" spans="1:18" s="49" customFormat="1" ht="12.75" x14ac:dyDescent="0.2">
      <c r="A356" s="53"/>
      <c r="D356" s="54"/>
      <c r="E356" s="55"/>
      <c r="F356" s="56"/>
      <c r="H356" s="56"/>
      <c r="I356" s="100"/>
      <c r="K356" s="100"/>
      <c r="L356" s="100"/>
      <c r="M356" s="100"/>
      <c r="N356" s="54"/>
      <c r="Q356" s="107"/>
      <c r="R356" s="107"/>
    </row>
    <row r="357" spans="1:18" s="49" customFormat="1" ht="12.75" x14ac:dyDescent="0.2">
      <c r="A357" s="53"/>
      <c r="D357" s="54"/>
      <c r="E357" s="55"/>
      <c r="F357" s="56"/>
      <c r="H357" s="56"/>
      <c r="I357" s="100"/>
      <c r="K357" s="100"/>
      <c r="L357" s="100"/>
      <c r="M357" s="100"/>
      <c r="N357" s="54"/>
      <c r="Q357" s="107"/>
      <c r="R357" s="107"/>
    </row>
    <row r="358" spans="1:18" s="49" customFormat="1" ht="12.75" x14ac:dyDescent="0.2">
      <c r="A358" s="53"/>
      <c r="D358" s="54"/>
      <c r="E358" s="55"/>
      <c r="F358" s="56"/>
      <c r="H358" s="56"/>
      <c r="I358" s="100"/>
      <c r="K358" s="100"/>
      <c r="L358" s="100"/>
      <c r="M358" s="100"/>
      <c r="N358" s="54"/>
      <c r="Q358" s="107"/>
      <c r="R358" s="107"/>
    </row>
    <row r="359" spans="1:18" s="49" customFormat="1" ht="12.75" x14ac:dyDescent="0.2">
      <c r="A359" s="53"/>
      <c r="D359" s="54"/>
      <c r="E359" s="55"/>
      <c r="F359" s="56"/>
      <c r="H359" s="56"/>
      <c r="I359" s="100"/>
      <c r="K359" s="100"/>
      <c r="L359" s="100"/>
      <c r="M359" s="100"/>
      <c r="N359" s="54"/>
      <c r="Q359" s="107"/>
      <c r="R359" s="107"/>
    </row>
    <row r="360" spans="1:18" s="49" customFormat="1" ht="12.75" x14ac:dyDescent="0.2">
      <c r="A360" s="53"/>
      <c r="D360" s="54"/>
      <c r="E360" s="55"/>
      <c r="F360" s="56"/>
      <c r="H360" s="56"/>
      <c r="I360" s="100"/>
      <c r="K360" s="100"/>
      <c r="L360" s="100"/>
      <c r="M360" s="100"/>
      <c r="N360" s="54"/>
      <c r="Q360" s="107"/>
      <c r="R360" s="107"/>
    </row>
    <row r="361" spans="1:18" s="49" customFormat="1" ht="12.75" x14ac:dyDescent="0.2">
      <c r="A361" s="53"/>
      <c r="D361" s="54"/>
      <c r="E361" s="55"/>
      <c r="F361" s="56"/>
      <c r="H361" s="56"/>
      <c r="I361" s="100"/>
      <c r="K361" s="100"/>
      <c r="L361" s="100"/>
      <c r="M361" s="100"/>
      <c r="N361" s="54"/>
      <c r="Q361" s="107"/>
      <c r="R361" s="107"/>
    </row>
    <row r="362" spans="1:18" s="49" customFormat="1" ht="12.75" x14ac:dyDescent="0.2">
      <c r="A362" s="53"/>
      <c r="D362" s="54"/>
      <c r="E362" s="55"/>
      <c r="F362" s="56"/>
      <c r="H362" s="56"/>
      <c r="I362" s="100"/>
      <c r="K362" s="100"/>
      <c r="L362" s="100"/>
      <c r="M362" s="100"/>
      <c r="N362" s="54"/>
      <c r="Q362" s="107"/>
      <c r="R362" s="107"/>
    </row>
    <row r="363" spans="1:18" s="49" customFormat="1" ht="12.75" x14ac:dyDescent="0.2">
      <c r="A363" s="53"/>
      <c r="D363" s="54"/>
      <c r="E363" s="55"/>
      <c r="F363" s="56"/>
      <c r="H363" s="56"/>
      <c r="I363" s="100"/>
      <c r="K363" s="100"/>
      <c r="L363" s="100"/>
      <c r="M363" s="100"/>
      <c r="N363" s="54"/>
      <c r="Q363" s="107"/>
      <c r="R363" s="107"/>
    </row>
    <row r="364" spans="1:18" s="49" customFormat="1" ht="12.75" x14ac:dyDescent="0.2">
      <c r="A364" s="53"/>
      <c r="D364" s="54"/>
      <c r="E364" s="55"/>
      <c r="F364" s="56"/>
      <c r="H364" s="56"/>
      <c r="I364" s="100"/>
      <c r="K364" s="100"/>
      <c r="L364" s="100"/>
      <c r="M364" s="100"/>
      <c r="N364" s="54"/>
      <c r="Q364" s="107"/>
      <c r="R364" s="107"/>
    </row>
    <row r="365" spans="1:18" s="49" customFormat="1" ht="12.75" x14ac:dyDescent="0.2">
      <c r="A365" s="53"/>
      <c r="D365" s="54"/>
      <c r="E365" s="55"/>
      <c r="F365" s="56"/>
      <c r="H365" s="56"/>
      <c r="I365" s="100"/>
      <c r="K365" s="100"/>
      <c r="L365" s="100"/>
      <c r="M365" s="100"/>
      <c r="N365" s="54"/>
      <c r="Q365" s="107"/>
      <c r="R365" s="107"/>
    </row>
    <row r="366" spans="1:18" s="49" customFormat="1" ht="12.75" x14ac:dyDescent="0.2">
      <c r="A366" s="53"/>
      <c r="D366" s="54"/>
      <c r="E366" s="55"/>
      <c r="F366" s="56"/>
      <c r="H366" s="56"/>
      <c r="I366" s="100"/>
      <c r="K366" s="100"/>
      <c r="L366" s="100"/>
      <c r="M366" s="100"/>
      <c r="N366" s="54"/>
      <c r="Q366" s="107"/>
      <c r="R366" s="107"/>
    </row>
    <row r="367" spans="1:18" s="49" customFormat="1" ht="12.75" x14ac:dyDescent="0.2">
      <c r="A367" s="53"/>
      <c r="D367" s="54"/>
      <c r="E367" s="55"/>
      <c r="F367" s="56"/>
      <c r="H367" s="56"/>
      <c r="I367" s="100"/>
      <c r="K367" s="100"/>
      <c r="L367" s="100"/>
      <c r="M367" s="100"/>
      <c r="N367" s="54"/>
      <c r="Q367" s="107"/>
      <c r="R367" s="107"/>
    </row>
    <row r="368" spans="1:18" s="49" customFormat="1" ht="12.75" x14ac:dyDescent="0.2">
      <c r="A368" s="53"/>
      <c r="D368" s="54"/>
      <c r="E368" s="55"/>
      <c r="F368" s="56"/>
      <c r="H368" s="56"/>
      <c r="I368" s="100"/>
      <c r="K368" s="100"/>
      <c r="L368" s="100"/>
      <c r="M368" s="100"/>
      <c r="N368" s="54"/>
      <c r="Q368" s="107"/>
      <c r="R368" s="107"/>
    </row>
    <row r="369" spans="1:18" s="49" customFormat="1" ht="12.75" x14ac:dyDescent="0.2">
      <c r="A369" s="53"/>
      <c r="D369" s="54"/>
      <c r="E369" s="55"/>
      <c r="F369" s="56"/>
      <c r="H369" s="56"/>
      <c r="I369" s="100"/>
      <c r="K369" s="100"/>
      <c r="L369" s="100"/>
      <c r="M369" s="100"/>
      <c r="N369" s="54"/>
      <c r="Q369" s="107"/>
      <c r="R369" s="107"/>
    </row>
    <row r="370" spans="1:18" s="49" customFormat="1" ht="12.75" x14ac:dyDescent="0.2">
      <c r="A370" s="53"/>
      <c r="D370" s="54"/>
      <c r="E370" s="55"/>
      <c r="F370" s="56"/>
      <c r="H370" s="56"/>
      <c r="I370" s="100"/>
      <c r="K370" s="100"/>
      <c r="L370" s="100"/>
      <c r="M370" s="100"/>
      <c r="N370" s="54"/>
      <c r="Q370" s="107"/>
      <c r="R370" s="107"/>
    </row>
    <row r="371" spans="1:18" s="49" customFormat="1" ht="12.75" x14ac:dyDescent="0.2">
      <c r="A371" s="53"/>
      <c r="D371" s="54"/>
      <c r="E371" s="55"/>
      <c r="F371" s="56"/>
      <c r="H371" s="56"/>
      <c r="I371" s="100"/>
      <c r="K371" s="100"/>
      <c r="L371" s="100"/>
      <c r="M371" s="100"/>
      <c r="N371" s="54"/>
      <c r="Q371" s="107"/>
      <c r="R371" s="107"/>
    </row>
    <row r="372" spans="1:18" s="49" customFormat="1" ht="12.75" x14ac:dyDescent="0.2">
      <c r="A372" s="53"/>
      <c r="D372" s="54"/>
      <c r="E372" s="55"/>
      <c r="F372" s="56"/>
      <c r="H372" s="56"/>
      <c r="I372" s="100"/>
      <c r="K372" s="100"/>
      <c r="L372" s="100"/>
      <c r="M372" s="100"/>
      <c r="N372" s="54"/>
      <c r="Q372" s="107"/>
      <c r="R372" s="107"/>
    </row>
    <row r="373" spans="1:18" s="49" customFormat="1" ht="12.75" x14ac:dyDescent="0.2">
      <c r="A373" s="53"/>
      <c r="D373" s="54"/>
      <c r="E373" s="55"/>
      <c r="F373" s="56"/>
      <c r="H373" s="56"/>
      <c r="I373" s="100"/>
      <c r="K373" s="100"/>
      <c r="L373" s="100"/>
      <c r="M373" s="100"/>
      <c r="N373" s="54"/>
      <c r="Q373" s="107"/>
      <c r="R373" s="107"/>
    </row>
    <row r="374" spans="1:18" s="49" customFormat="1" ht="12.75" x14ac:dyDescent="0.2">
      <c r="A374" s="53"/>
      <c r="D374" s="54"/>
      <c r="E374" s="55"/>
      <c r="F374" s="56"/>
      <c r="H374" s="56"/>
      <c r="I374" s="100"/>
      <c r="K374" s="100"/>
      <c r="L374" s="100"/>
      <c r="M374" s="100"/>
      <c r="N374" s="54"/>
      <c r="Q374" s="107"/>
      <c r="R374" s="107"/>
    </row>
    <row r="375" spans="1:18" s="49" customFormat="1" ht="12.75" x14ac:dyDescent="0.2">
      <c r="A375" s="53"/>
      <c r="D375" s="54"/>
      <c r="E375" s="55"/>
      <c r="F375" s="56"/>
      <c r="H375" s="56"/>
      <c r="I375" s="100"/>
      <c r="K375" s="100"/>
      <c r="L375" s="100"/>
      <c r="M375" s="100"/>
      <c r="N375" s="54"/>
      <c r="Q375" s="107"/>
      <c r="R375" s="107"/>
    </row>
    <row r="376" spans="1:18" s="49" customFormat="1" ht="12.75" x14ac:dyDescent="0.2">
      <c r="A376" s="53"/>
      <c r="D376" s="54"/>
      <c r="E376" s="55"/>
      <c r="F376" s="56"/>
      <c r="H376" s="56"/>
      <c r="I376" s="100"/>
      <c r="K376" s="100"/>
      <c r="L376" s="100"/>
      <c r="M376" s="100"/>
      <c r="N376" s="54"/>
      <c r="Q376" s="107"/>
      <c r="R376" s="107"/>
    </row>
    <row r="377" spans="1:18" s="49" customFormat="1" ht="12.75" x14ac:dyDescent="0.2">
      <c r="A377" s="53"/>
      <c r="D377" s="54"/>
      <c r="E377" s="55"/>
      <c r="F377" s="56"/>
      <c r="H377" s="56"/>
      <c r="I377" s="100"/>
      <c r="K377" s="100"/>
      <c r="L377" s="100"/>
      <c r="M377" s="100"/>
      <c r="N377" s="54"/>
      <c r="Q377" s="107"/>
      <c r="R377" s="107"/>
    </row>
    <row r="378" spans="1:18" s="49" customFormat="1" ht="12.75" x14ac:dyDescent="0.2">
      <c r="A378" s="53"/>
      <c r="D378" s="54"/>
      <c r="E378" s="55"/>
      <c r="F378" s="56"/>
      <c r="H378" s="56"/>
      <c r="I378" s="100"/>
      <c r="K378" s="100"/>
      <c r="L378" s="100"/>
      <c r="M378" s="100"/>
      <c r="N378" s="54"/>
      <c r="Q378" s="107"/>
      <c r="R378" s="107"/>
    </row>
    <row r="379" spans="1:18" s="49" customFormat="1" ht="12.75" x14ac:dyDescent="0.2">
      <c r="A379" s="53"/>
      <c r="D379" s="54"/>
      <c r="E379" s="55"/>
      <c r="F379" s="56"/>
      <c r="H379" s="56"/>
      <c r="I379" s="100"/>
      <c r="K379" s="100"/>
      <c r="L379" s="100"/>
      <c r="M379" s="100"/>
      <c r="N379" s="54"/>
      <c r="Q379" s="107"/>
      <c r="R379" s="107"/>
    </row>
    <row r="380" spans="1:18" s="49" customFormat="1" ht="12.75" x14ac:dyDescent="0.2">
      <c r="A380" s="53"/>
      <c r="D380" s="54"/>
      <c r="E380" s="55"/>
      <c r="F380" s="56"/>
      <c r="H380" s="56"/>
      <c r="I380" s="100"/>
      <c r="K380" s="100"/>
      <c r="L380" s="100"/>
      <c r="M380" s="100"/>
      <c r="N380" s="54"/>
      <c r="Q380" s="107"/>
      <c r="R380" s="107"/>
    </row>
    <row r="381" spans="1:18" s="49" customFormat="1" ht="12.75" x14ac:dyDescent="0.2">
      <c r="A381" s="53"/>
      <c r="D381" s="54"/>
      <c r="E381" s="55"/>
      <c r="F381" s="56"/>
      <c r="H381" s="56"/>
      <c r="I381" s="100"/>
      <c r="K381" s="100"/>
      <c r="L381" s="100"/>
      <c r="M381" s="100"/>
      <c r="N381" s="54"/>
      <c r="Q381" s="107"/>
      <c r="R381" s="107"/>
    </row>
    <row r="382" spans="1:18" s="49" customFormat="1" ht="12.75" x14ac:dyDescent="0.2">
      <c r="A382" s="53"/>
      <c r="D382" s="54"/>
      <c r="E382" s="55"/>
      <c r="F382" s="56"/>
      <c r="H382" s="56"/>
      <c r="I382" s="100"/>
      <c r="K382" s="100"/>
      <c r="L382" s="100"/>
      <c r="M382" s="100"/>
      <c r="N382" s="54"/>
      <c r="Q382" s="107"/>
      <c r="R382" s="107"/>
    </row>
    <row r="383" spans="1:18" s="49" customFormat="1" ht="12.75" x14ac:dyDescent="0.2">
      <c r="A383" s="53"/>
      <c r="D383" s="54"/>
      <c r="E383" s="55"/>
      <c r="F383" s="56"/>
      <c r="H383" s="56"/>
      <c r="I383" s="100"/>
      <c r="K383" s="100"/>
      <c r="L383" s="100"/>
      <c r="M383" s="100"/>
      <c r="N383" s="54"/>
      <c r="Q383" s="107"/>
      <c r="R383" s="107"/>
    </row>
    <row r="384" spans="1:18" s="49" customFormat="1" ht="12.75" x14ac:dyDescent="0.2">
      <c r="A384" s="53"/>
      <c r="D384" s="54"/>
      <c r="E384" s="55"/>
      <c r="F384" s="56"/>
      <c r="H384" s="56"/>
      <c r="I384" s="100"/>
      <c r="K384" s="100"/>
      <c r="L384" s="100"/>
      <c r="M384" s="100"/>
      <c r="N384" s="54"/>
      <c r="Q384" s="107"/>
      <c r="R384" s="107"/>
    </row>
    <row r="385" spans="1:18" s="49" customFormat="1" ht="12.75" x14ac:dyDescent="0.2">
      <c r="A385" s="53"/>
      <c r="D385" s="54"/>
      <c r="E385" s="55"/>
      <c r="F385" s="56"/>
      <c r="H385" s="56"/>
      <c r="I385" s="100"/>
      <c r="K385" s="100"/>
      <c r="L385" s="100"/>
      <c r="M385" s="100"/>
      <c r="N385" s="54"/>
      <c r="Q385" s="107"/>
      <c r="R385" s="107"/>
    </row>
    <row r="386" spans="1:18" s="49" customFormat="1" ht="12.75" x14ac:dyDescent="0.2">
      <c r="A386" s="53"/>
      <c r="D386" s="54"/>
      <c r="E386" s="55"/>
      <c r="F386" s="56"/>
      <c r="H386" s="56"/>
      <c r="I386" s="100"/>
      <c r="K386" s="100"/>
      <c r="L386" s="100"/>
      <c r="M386" s="100"/>
      <c r="N386" s="54"/>
      <c r="Q386" s="107"/>
      <c r="R386" s="107"/>
    </row>
    <row r="387" spans="1:18" s="49" customFormat="1" ht="12.75" x14ac:dyDescent="0.2">
      <c r="A387" s="53"/>
      <c r="D387" s="54"/>
      <c r="E387" s="55"/>
      <c r="F387" s="56"/>
      <c r="H387" s="56"/>
      <c r="I387" s="100"/>
      <c r="K387" s="100"/>
      <c r="L387" s="100"/>
      <c r="M387" s="100"/>
      <c r="N387" s="54"/>
      <c r="Q387" s="107"/>
      <c r="R387" s="107"/>
    </row>
    <row r="388" spans="1:18" s="49" customFormat="1" ht="12.75" x14ac:dyDescent="0.2">
      <c r="A388" s="53"/>
      <c r="D388" s="54"/>
      <c r="E388" s="55"/>
      <c r="F388" s="56"/>
      <c r="H388" s="56"/>
      <c r="I388" s="100"/>
      <c r="K388" s="100"/>
      <c r="L388" s="100"/>
      <c r="M388" s="100"/>
      <c r="N388" s="54"/>
      <c r="Q388" s="107"/>
      <c r="R388" s="107"/>
    </row>
    <row r="389" spans="1:18" s="49" customFormat="1" ht="12.75" x14ac:dyDescent="0.2">
      <c r="A389" s="53"/>
      <c r="D389" s="54"/>
      <c r="E389" s="55"/>
      <c r="F389" s="56"/>
      <c r="H389" s="56"/>
      <c r="I389" s="100"/>
      <c r="K389" s="100"/>
      <c r="L389" s="100"/>
      <c r="M389" s="100"/>
      <c r="N389" s="54"/>
      <c r="Q389" s="107"/>
      <c r="R389" s="107"/>
    </row>
    <row r="390" spans="1:18" s="49" customFormat="1" ht="12.75" x14ac:dyDescent="0.2">
      <c r="A390" s="53"/>
      <c r="D390" s="54"/>
      <c r="E390" s="55"/>
      <c r="F390" s="56"/>
      <c r="H390" s="56"/>
      <c r="I390" s="100"/>
      <c r="K390" s="100"/>
      <c r="L390" s="100"/>
      <c r="M390" s="100"/>
      <c r="N390" s="54"/>
      <c r="Q390" s="107"/>
      <c r="R390" s="107"/>
    </row>
    <row r="391" spans="1:18" s="49" customFormat="1" ht="12.75" x14ac:dyDescent="0.2">
      <c r="A391" s="53"/>
      <c r="D391" s="54"/>
      <c r="E391" s="55"/>
      <c r="F391" s="56"/>
      <c r="H391" s="56"/>
      <c r="I391" s="100"/>
      <c r="K391" s="100"/>
      <c r="L391" s="100"/>
      <c r="M391" s="100"/>
      <c r="N391" s="54"/>
      <c r="Q391" s="107"/>
      <c r="R391" s="107"/>
    </row>
    <row r="392" spans="1:18" s="49" customFormat="1" ht="12.75" x14ac:dyDescent="0.2">
      <c r="A392" s="53"/>
      <c r="D392" s="54"/>
      <c r="E392" s="55"/>
      <c r="F392" s="56"/>
      <c r="H392" s="56"/>
      <c r="I392" s="100"/>
      <c r="K392" s="100"/>
      <c r="L392" s="100"/>
      <c r="M392" s="100"/>
      <c r="N392" s="54"/>
      <c r="Q392" s="107"/>
      <c r="R392" s="107"/>
    </row>
    <row r="393" spans="1:18" s="49" customFormat="1" ht="12.75" x14ac:dyDescent="0.2">
      <c r="A393" s="53"/>
      <c r="D393" s="54"/>
      <c r="E393" s="55"/>
      <c r="F393" s="56"/>
      <c r="H393" s="56"/>
      <c r="I393" s="100"/>
      <c r="K393" s="100"/>
      <c r="L393" s="100"/>
      <c r="M393" s="100"/>
      <c r="N393" s="54"/>
      <c r="Q393" s="107"/>
      <c r="R393" s="107"/>
    </row>
    <row r="394" spans="1:18" s="49" customFormat="1" ht="12.75" x14ac:dyDescent="0.2">
      <c r="A394" s="53"/>
      <c r="D394" s="54"/>
      <c r="E394" s="55"/>
      <c r="F394" s="56"/>
      <c r="H394" s="56"/>
      <c r="I394" s="100"/>
      <c r="K394" s="100"/>
      <c r="L394" s="100"/>
      <c r="M394" s="100"/>
      <c r="N394" s="54"/>
      <c r="Q394" s="107"/>
      <c r="R394" s="107"/>
    </row>
    <row r="395" spans="1:18" s="49" customFormat="1" ht="12.75" x14ac:dyDescent="0.2">
      <c r="A395" s="53"/>
      <c r="D395" s="54"/>
      <c r="E395" s="55"/>
      <c r="F395" s="56"/>
      <c r="H395" s="56"/>
      <c r="I395" s="100"/>
      <c r="K395" s="100"/>
      <c r="L395" s="100"/>
      <c r="M395" s="100"/>
      <c r="N395" s="54"/>
      <c r="Q395" s="107"/>
      <c r="R395" s="107"/>
    </row>
    <row r="396" spans="1:18" s="49" customFormat="1" ht="12.75" x14ac:dyDescent="0.2">
      <c r="A396" s="53"/>
      <c r="D396" s="54"/>
      <c r="E396" s="55"/>
      <c r="F396" s="56"/>
      <c r="H396" s="56"/>
      <c r="I396" s="100"/>
      <c r="K396" s="100"/>
      <c r="L396" s="100"/>
      <c r="M396" s="100"/>
      <c r="N396" s="54"/>
      <c r="Q396" s="107"/>
      <c r="R396" s="107"/>
    </row>
    <row r="397" spans="1:18" s="49" customFormat="1" ht="12.75" x14ac:dyDescent="0.2">
      <c r="A397" s="53"/>
      <c r="D397" s="54"/>
      <c r="E397" s="55"/>
      <c r="F397" s="56"/>
      <c r="H397" s="56"/>
      <c r="I397" s="100"/>
      <c r="K397" s="100"/>
      <c r="L397" s="100"/>
      <c r="M397" s="100"/>
      <c r="N397" s="54"/>
      <c r="Q397" s="107"/>
      <c r="R397" s="107"/>
    </row>
    <row r="398" spans="1:18" s="49" customFormat="1" ht="12.75" x14ac:dyDescent="0.2">
      <c r="A398" s="53"/>
      <c r="D398" s="54"/>
      <c r="E398" s="55"/>
      <c r="F398" s="56"/>
      <c r="H398" s="56"/>
      <c r="I398" s="100"/>
      <c r="K398" s="100"/>
      <c r="L398" s="100"/>
      <c r="M398" s="100"/>
      <c r="N398" s="54"/>
      <c r="Q398" s="107"/>
      <c r="R398" s="107"/>
    </row>
    <row r="399" spans="1:18" s="49" customFormat="1" ht="12.75" x14ac:dyDescent="0.2">
      <c r="A399" s="53"/>
      <c r="D399" s="54"/>
      <c r="E399" s="55"/>
      <c r="F399" s="56"/>
      <c r="H399" s="56"/>
      <c r="I399" s="100"/>
      <c r="K399" s="100"/>
      <c r="L399" s="100"/>
      <c r="M399" s="100"/>
      <c r="N399" s="54"/>
      <c r="Q399" s="107"/>
      <c r="R399" s="107"/>
    </row>
    <row r="400" spans="1:18" s="49" customFormat="1" ht="12.75" x14ac:dyDescent="0.2">
      <c r="A400" s="53"/>
      <c r="D400" s="54"/>
      <c r="E400" s="55"/>
      <c r="F400" s="56"/>
      <c r="H400" s="56"/>
      <c r="I400" s="100"/>
      <c r="K400" s="100"/>
      <c r="L400" s="100"/>
      <c r="M400" s="100"/>
      <c r="N400" s="54"/>
      <c r="Q400" s="107"/>
      <c r="R400" s="107"/>
    </row>
    <row r="401" spans="1:18" s="49" customFormat="1" ht="12.75" x14ac:dyDescent="0.2">
      <c r="A401" s="53"/>
      <c r="D401" s="54"/>
      <c r="E401" s="55"/>
      <c r="F401" s="56"/>
      <c r="H401" s="56"/>
      <c r="I401" s="100"/>
      <c r="K401" s="100"/>
      <c r="L401" s="100"/>
      <c r="M401" s="100"/>
      <c r="N401" s="54"/>
      <c r="Q401" s="107"/>
      <c r="R401" s="107"/>
    </row>
    <row r="402" spans="1:18" s="49" customFormat="1" ht="12.75" x14ac:dyDescent="0.2">
      <c r="A402" s="53"/>
      <c r="D402" s="54"/>
      <c r="E402" s="55"/>
      <c r="F402" s="56"/>
      <c r="H402" s="56"/>
      <c r="I402" s="100"/>
      <c r="K402" s="100"/>
      <c r="L402" s="100"/>
      <c r="M402" s="100"/>
      <c r="N402" s="54"/>
      <c r="Q402" s="107"/>
      <c r="R402" s="107"/>
    </row>
    <row r="403" spans="1:18" s="49" customFormat="1" ht="12.75" x14ac:dyDescent="0.2">
      <c r="A403" s="53"/>
      <c r="D403" s="54"/>
      <c r="E403" s="55"/>
      <c r="F403" s="56"/>
      <c r="H403" s="56"/>
      <c r="I403" s="100"/>
      <c r="K403" s="100"/>
      <c r="L403" s="100"/>
      <c r="M403" s="100"/>
      <c r="N403" s="54"/>
      <c r="Q403" s="107"/>
      <c r="R403" s="107"/>
    </row>
    <row r="404" spans="1:18" s="49" customFormat="1" ht="12.75" x14ac:dyDescent="0.2">
      <c r="A404" s="53"/>
      <c r="D404" s="54"/>
      <c r="E404" s="55"/>
      <c r="F404" s="56"/>
      <c r="H404" s="56"/>
      <c r="I404" s="100"/>
      <c r="K404" s="100"/>
      <c r="L404" s="100"/>
      <c r="M404" s="100"/>
      <c r="N404" s="54"/>
      <c r="Q404" s="107"/>
      <c r="R404" s="107"/>
    </row>
    <row r="405" spans="1:18" s="49" customFormat="1" ht="12.75" x14ac:dyDescent="0.2">
      <c r="A405" s="53"/>
      <c r="D405" s="54"/>
      <c r="E405" s="55"/>
      <c r="F405" s="56"/>
      <c r="H405" s="56"/>
      <c r="I405" s="100"/>
      <c r="K405" s="100"/>
      <c r="L405" s="100"/>
      <c r="M405" s="100"/>
      <c r="N405" s="54"/>
      <c r="Q405" s="107"/>
      <c r="R405" s="107"/>
    </row>
    <row r="406" spans="1:18" s="49" customFormat="1" ht="12.75" x14ac:dyDescent="0.2">
      <c r="A406" s="53"/>
      <c r="D406" s="54"/>
      <c r="E406" s="55"/>
      <c r="F406" s="56"/>
      <c r="H406" s="56"/>
      <c r="I406" s="100"/>
      <c r="K406" s="100"/>
      <c r="L406" s="100"/>
      <c r="M406" s="100"/>
      <c r="N406" s="54"/>
      <c r="Q406" s="107"/>
      <c r="R406" s="107"/>
    </row>
    <row r="407" spans="1:18" s="49" customFormat="1" ht="12.75" x14ac:dyDescent="0.2">
      <c r="A407" s="53"/>
      <c r="D407" s="54"/>
      <c r="E407" s="55"/>
      <c r="F407" s="56"/>
      <c r="H407" s="56"/>
      <c r="I407" s="100"/>
      <c r="K407" s="100"/>
      <c r="L407" s="100"/>
      <c r="M407" s="100"/>
      <c r="N407" s="54"/>
      <c r="Q407" s="107"/>
      <c r="R407" s="107"/>
    </row>
    <row r="408" spans="1:18" s="49" customFormat="1" ht="12.75" x14ac:dyDescent="0.2">
      <c r="A408" s="53"/>
      <c r="D408" s="54"/>
      <c r="E408" s="55"/>
      <c r="F408" s="56"/>
      <c r="H408" s="56"/>
      <c r="I408" s="100"/>
      <c r="K408" s="100"/>
      <c r="L408" s="100"/>
      <c r="M408" s="100"/>
      <c r="N408" s="54"/>
      <c r="Q408" s="107"/>
      <c r="R408" s="107"/>
    </row>
    <row r="409" spans="1:18" s="49" customFormat="1" ht="12.75" x14ac:dyDescent="0.2">
      <c r="A409" s="53"/>
      <c r="D409" s="54"/>
      <c r="E409" s="55"/>
      <c r="F409" s="56"/>
      <c r="H409" s="56"/>
      <c r="I409" s="100"/>
      <c r="K409" s="100"/>
      <c r="L409" s="100"/>
      <c r="M409" s="100"/>
      <c r="N409" s="54"/>
      <c r="Q409" s="107"/>
      <c r="R409" s="107"/>
    </row>
    <row r="410" spans="1:18" s="49" customFormat="1" ht="12.75" x14ac:dyDescent="0.2">
      <c r="A410" s="53"/>
      <c r="D410" s="54"/>
      <c r="E410" s="55"/>
      <c r="F410" s="56"/>
      <c r="H410" s="56"/>
      <c r="I410" s="100"/>
      <c r="K410" s="100"/>
      <c r="L410" s="100"/>
      <c r="M410" s="100"/>
      <c r="N410" s="54"/>
      <c r="Q410" s="107"/>
      <c r="R410" s="107"/>
    </row>
    <row r="411" spans="1:18" s="49" customFormat="1" ht="12.75" x14ac:dyDescent="0.2">
      <c r="A411" s="53"/>
      <c r="D411" s="54"/>
      <c r="E411" s="55"/>
      <c r="F411" s="56"/>
      <c r="H411" s="56"/>
      <c r="I411" s="100"/>
      <c r="K411" s="100"/>
      <c r="L411" s="100"/>
      <c r="M411" s="100"/>
      <c r="N411" s="54"/>
      <c r="Q411" s="107"/>
      <c r="R411" s="107"/>
    </row>
    <row r="412" spans="1:18" s="49" customFormat="1" ht="12.75" x14ac:dyDescent="0.2">
      <c r="A412" s="53"/>
      <c r="D412" s="54"/>
      <c r="E412" s="55"/>
      <c r="F412" s="56"/>
      <c r="H412" s="56"/>
      <c r="I412" s="100"/>
      <c r="K412" s="100"/>
      <c r="L412" s="100"/>
      <c r="M412" s="100"/>
      <c r="N412" s="54"/>
      <c r="Q412" s="107"/>
      <c r="R412" s="107"/>
    </row>
    <row r="413" spans="1:18" s="49" customFormat="1" ht="12.75" x14ac:dyDescent="0.2">
      <c r="A413" s="53"/>
      <c r="D413" s="54"/>
      <c r="E413" s="55"/>
      <c r="F413" s="56"/>
      <c r="H413" s="56"/>
      <c r="I413" s="100"/>
      <c r="K413" s="100"/>
      <c r="L413" s="100"/>
      <c r="M413" s="100"/>
      <c r="N413" s="54"/>
      <c r="Q413" s="107"/>
      <c r="R413" s="107"/>
    </row>
    <row r="414" spans="1:18" s="49" customFormat="1" ht="12.75" x14ac:dyDescent="0.2">
      <c r="A414" s="53"/>
      <c r="D414" s="54"/>
      <c r="E414" s="55"/>
      <c r="F414" s="56"/>
      <c r="H414" s="56"/>
      <c r="I414" s="100"/>
      <c r="K414" s="100"/>
      <c r="L414" s="100"/>
      <c r="M414" s="100"/>
      <c r="N414" s="54"/>
      <c r="Q414" s="107"/>
      <c r="R414" s="107"/>
    </row>
    <row r="415" spans="1:18" s="49" customFormat="1" ht="12.75" x14ac:dyDescent="0.2">
      <c r="A415" s="53"/>
      <c r="D415" s="54"/>
      <c r="E415" s="55"/>
      <c r="F415" s="56"/>
      <c r="H415" s="56"/>
      <c r="I415" s="100"/>
      <c r="K415" s="100"/>
      <c r="L415" s="100"/>
      <c r="M415" s="100"/>
      <c r="N415" s="54"/>
      <c r="Q415" s="107"/>
      <c r="R415" s="107"/>
    </row>
    <row r="416" spans="1:18" s="49" customFormat="1" ht="12.75" x14ac:dyDescent="0.2">
      <c r="A416" s="53"/>
      <c r="D416" s="54"/>
      <c r="E416" s="55"/>
      <c r="F416" s="56"/>
      <c r="H416" s="56"/>
      <c r="I416" s="100"/>
      <c r="K416" s="100"/>
      <c r="L416" s="100"/>
      <c r="M416" s="100"/>
      <c r="N416" s="54"/>
      <c r="Q416" s="107"/>
      <c r="R416" s="107"/>
    </row>
    <row r="417" spans="1:18" s="49" customFormat="1" ht="12.75" x14ac:dyDescent="0.2">
      <c r="A417" s="53"/>
      <c r="D417" s="54"/>
      <c r="E417" s="55"/>
      <c r="F417" s="56"/>
      <c r="H417" s="56"/>
      <c r="I417" s="100"/>
      <c r="K417" s="100"/>
      <c r="L417" s="100"/>
      <c r="M417" s="100"/>
      <c r="N417" s="54"/>
      <c r="Q417" s="107"/>
      <c r="R417" s="107"/>
    </row>
    <row r="418" spans="1:18" s="49" customFormat="1" ht="12.75" x14ac:dyDescent="0.2">
      <c r="A418" s="53"/>
      <c r="D418" s="54"/>
      <c r="E418" s="55"/>
      <c r="F418" s="56"/>
      <c r="H418" s="56"/>
      <c r="I418" s="100"/>
      <c r="K418" s="100"/>
      <c r="L418" s="100"/>
      <c r="M418" s="100"/>
      <c r="N418" s="54"/>
      <c r="Q418" s="107"/>
      <c r="R418" s="107"/>
    </row>
    <row r="419" spans="1:18" s="49" customFormat="1" ht="12.75" x14ac:dyDescent="0.2">
      <c r="A419" s="53"/>
      <c r="D419" s="54"/>
      <c r="E419" s="55"/>
      <c r="F419" s="56"/>
      <c r="H419" s="56"/>
      <c r="I419" s="100"/>
      <c r="K419" s="100"/>
      <c r="L419" s="100"/>
      <c r="M419" s="100"/>
      <c r="N419" s="54"/>
      <c r="Q419" s="107"/>
      <c r="R419" s="107"/>
    </row>
    <row r="420" spans="1:18" s="49" customFormat="1" ht="12.75" x14ac:dyDescent="0.2">
      <c r="A420" s="53"/>
      <c r="D420" s="54"/>
      <c r="E420" s="55"/>
      <c r="F420" s="56"/>
      <c r="H420" s="56"/>
      <c r="I420" s="100"/>
      <c r="K420" s="100"/>
      <c r="L420" s="100"/>
      <c r="M420" s="100"/>
      <c r="N420" s="54"/>
      <c r="Q420" s="107"/>
      <c r="R420" s="107"/>
    </row>
    <row r="421" spans="1:18" s="49" customFormat="1" ht="12.75" x14ac:dyDescent="0.2">
      <c r="A421" s="53"/>
      <c r="D421" s="54"/>
      <c r="E421" s="55"/>
      <c r="F421" s="56"/>
      <c r="H421" s="56"/>
      <c r="I421" s="100"/>
      <c r="K421" s="100"/>
      <c r="L421" s="100"/>
      <c r="M421" s="100"/>
      <c r="N421" s="54"/>
      <c r="Q421" s="107"/>
      <c r="R421" s="107"/>
    </row>
    <row r="422" spans="1:18" s="49" customFormat="1" ht="12.75" x14ac:dyDescent="0.2">
      <c r="A422" s="53"/>
      <c r="D422" s="54"/>
      <c r="E422" s="55"/>
      <c r="F422" s="56"/>
      <c r="H422" s="56"/>
      <c r="I422" s="100"/>
      <c r="K422" s="100"/>
      <c r="L422" s="100"/>
      <c r="M422" s="100"/>
      <c r="N422" s="54"/>
      <c r="Q422" s="107"/>
      <c r="R422" s="107"/>
    </row>
    <row r="423" spans="1:18" s="49" customFormat="1" ht="12.75" x14ac:dyDescent="0.2">
      <c r="A423" s="53"/>
      <c r="D423" s="54"/>
      <c r="E423" s="55"/>
      <c r="F423" s="56"/>
      <c r="H423" s="56"/>
      <c r="I423" s="100"/>
      <c r="K423" s="100"/>
      <c r="L423" s="100"/>
      <c r="M423" s="100"/>
      <c r="N423" s="54"/>
      <c r="Q423" s="107"/>
      <c r="R423" s="107"/>
    </row>
    <row r="424" spans="1:18" s="49" customFormat="1" ht="12.75" x14ac:dyDescent="0.2">
      <c r="A424" s="53"/>
      <c r="D424" s="54"/>
      <c r="E424" s="55"/>
      <c r="F424" s="56"/>
      <c r="H424" s="56"/>
      <c r="I424" s="100"/>
      <c r="K424" s="100"/>
      <c r="L424" s="100"/>
      <c r="M424" s="100"/>
      <c r="N424" s="54"/>
      <c r="Q424" s="107"/>
      <c r="R424" s="107"/>
    </row>
    <row r="425" spans="1:18" s="49" customFormat="1" ht="12.75" x14ac:dyDescent="0.2">
      <c r="A425" s="53"/>
      <c r="D425" s="54"/>
      <c r="E425" s="55"/>
      <c r="F425" s="56"/>
      <c r="H425" s="56"/>
      <c r="I425" s="100"/>
      <c r="K425" s="100"/>
      <c r="L425" s="100"/>
      <c r="M425" s="100"/>
      <c r="N425" s="54"/>
      <c r="Q425" s="107"/>
      <c r="R425" s="107"/>
    </row>
    <row r="426" spans="1:18" s="49" customFormat="1" ht="12.75" x14ac:dyDescent="0.2">
      <c r="A426" s="53"/>
      <c r="D426" s="54"/>
      <c r="E426" s="55"/>
      <c r="F426" s="56"/>
      <c r="H426" s="56"/>
      <c r="I426" s="100"/>
      <c r="K426" s="100"/>
      <c r="L426" s="100"/>
      <c r="M426" s="100"/>
      <c r="N426" s="54"/>
      <c r="Q426" s="107"/>
      <c r="R426" s="107"/>
    </row>
    <row r="427" spans="1:18" s="49" customFormat="1" ht="12.75" x14ac:dyDescent="0.2">
      <c r="A427" s="53"/>
      <c r="D427" s="54"/>
      <c r="E427" s="55"/>
      <c r="F427" s="56"/>
      <c r="H427" s="56"/>
      <c r="I427" s="100"/>
      <c r="K427" s="100"/>
      <c r="L427" s="100"/>
      <c r="M427" s="100"/>
      <c r="N427" s="54"/>
      <c r="Q427" s="107"/>
      <c r="R427" s="107"/>
    </row>
    <row r="428" spans="1:18" s="49" customFormat="1" ht="12.75" x14ac:dyDescent="0.2">
      <c r="A428" s="53"/>
      <c r="D428" s="54"/>
      <c r="E428" s="55"/>
      <c r="F428" s="56"/>
      <c r="H428" s="56"/>
      <c r="I428" s="100"/>
      <c r="K428" s="100"/>
      <c r="L428" s="100"/>
      <c r="M428" s="100"/>
      <c r="N428" s="54"/>
      <c r="Q428" s="107"/>
      <c r="R428" s="107"/>
    </row>
    <row r="429" spans="1:18" s="49" customFormat="1" ht="12.75" x14ac:dyDescent="0.2">
      <c r="A429" s="53"/>
      <c r="D429" s="54"/>
      <c r="E429" s="55"/>
      <c r="F429" s="56"/>
      <c r="H429" s="56"/>
      <c r="I429" s="100"/>
      <c r="K429" s="100"/>
      <c r="L429" s="100"/>
      <c r="M429" s="100"/>
      <c r="N429" s="54"/>
      <c r="Q429" s="107"/>
      <c r="R429" s="107"/>
    </row>
    <row r="430" spans="1:18" s="49" customFormat="1" ht="12.75" x14ac:dyDescent="0.2">
      <c r="A430" s="53"/>
      <c r="D430" s="54"/>
      <c r="E430" s="55"/>
      <c r="F430" s="56"/>
      <c r="H430" s="56"/>
      <c r="I430" s="100"/>
      <c r="K430" s="100"/>
      <c r="L430" s="100"/>
      <c r="M430" s="100"/>
      <c r="N430" s="54"/>
      <c r="Q430" s="107"/>
      <c r="R430" s="107"/>
    </row>
    <row r="431" spans="1:18" s="49" customFormat="1" ht="12.75" x14ac:dyDescent="0.2">
      <c r="A431" s="53"/>
      <c r="D431" s="54"/>
      <c r="E431" s="55"/>
      <c r="F431" s="56"/>
      <c r="H431" s="56"/>
      <c r="I431" s="100"/>
      <c r="K431" s="100"/>
      <c r="L431" s="100"/>
      <c r="M431" s="100"/>
      <c r="N431" s="54"/>
      <c r="Q431" s="107"/>
      <c r="R431" s="107"/>
    </row>
    <row r="432" spans="1:18" s="49" customFormat="1" ht="12.75" x14ac:dyDescent="0.2">
      <c r="A432" s="53"/>
      <c r="D432" s="54"/>
      <c r="E432" s="55"/>
      <c r="F432" s="56"/>
      <c r="H432" s="56"/>
      <c r="I432" s="100"/>
      <c r="K432" s="100"/>
      <c r="L432" s="100"/>
      <c r="M432" s="100"/>
      <c r="N432" s="54"/>
      <c r="Q432" s="107"/>
      <c r="R432" s="107"/>
    </row>
    <row r="433" spans="1:18" s="49" customFormat="1" ht="12.75" x14ac:dyDescent="0.2">
      <c r="A433" s="53"/>
      <c r="D433" s="54"/>
      <c r="E433" s="55"/>
      <c r="F433" s="56"/>
      <c r="H433" s="56"/>
      <c r="I433" s="100"/>
      <c r="K433" s="100"/>
      <c r="L433" s="100"/>
      <c r="M433" s="100"/>
      <c r="N433" s="54"/>
      <c r="Q433" s="107"/>
      <c r="R433" s="107"/>
    </row>
    <row r="434" spans="1:18" s="49" customFormat="1" ht="12.75" x14ac:dyDescent="0.2">
      <c r="A434" s="53"/>
      <c r="D434" s="54"/>
      <c r="E434" s="55"/>
      <c r="F434" s="56"/>
      <c r="H434" s="56"/>
      <c r="I434" s="100"/>
      <c r="K434" s="100"/>
      <c r="L434" s="100"/>
      <c r="M434" s="100"/>
      <c r="N434" s="54"/>
      <c r="Q434" s="107"/>
      <c r="R434" s="107"/>
    </row>
    <row r="435" spans="1:18" s="49" customFormat="1" ht="12.75" x14ac:dyDescent="0.2">
      <c r="A435" s="53"/>
      <c r="D435" s="54"/>
      <c r="E435" s="55"/>
      <c r="F435" s="56"/>
      <c r="H435" s="56"/>
      <c r="I435" s="100"/>
      <c r="K435" s="100"/>
      <c r="L435" s="100"/>
      <c r="M435" s="100"/>
      <c r="N435" s="54"/>
      <c r="Q435" s="107"/>
      <c r="R435" s="107"/>
    </row>
    <row r="436" spans="1:18" s="49" customFormat="1" ht="12.75" x14ac:dyDescent="0.2">
      <c r="A436" s="53"/>
      <c r="D436" s="54"/>
      <c r="E436" s="55"/>
      <c r="F436" s="56"/>
      <c r="H436" s="56"/>
      <c r="I436" s="100"/>
      <c r="K436" s="100"/>
      <c r="L436" s="100"/>
      <c r="M436" s="100"/>
      <c r="N436" s="54"/>
      <c r="Q436" s="107"/>
      <c r="R436" s="107"/>
    </row>
    <row r="437" spans="1:18" s="49" customFormat="1" ht="12.75" x14ac:dyDescent="0.2">
      <c r="A437" s="53"/>
      <c r="D437" s="54"/>
      <c r="E437" s="55"/>
      <c r="F437" s="56"/>
      <c r="H437" s="56"/>
      <c r="I437" s="100"/>
      <c r="K437" s="100"/>
      <c r="L437" s="100"/>
      <c r="M437" s="100"/>
      <c r="N437" s="54"/>
      <c r="Q437" s="107"/>
      <c r="R437" s="107"/>
    </row>
    <row r="438" spans="1:18" s="49" customFormat="1" ht="12.75" x14ac:dyDescent="0.2">
      <c r="A438" s="53"/>
      <c r="D438" s="54"/>
      <c r="E438" s="55"/>
      <c r="F438" s="56"/>
      <c r="H438" s="56"/>
      <c r="I438" s="100"/>
      <c r="K438" s="100"/>
      <c r="L438" s="100"/>
      <c r="M438" s="100"/>
      <c r="N438" s="54"/>
      <c r="Q438" s="107"/>
      <c r="R438" s="107"/>
    </row>
    <row r="439" spans="1:18" s="49" customFormat="1" ht="12.75" x14ac:dyDescent="0.2">
      <c r="A439" s="53"/>
      <c r="D439" s="54"/>
      <c r="E439" s="55"/>
      <c r="F439" s="56"/>
      <c r="H439" s="56"/>
      <c r="I439" s="100"/>
      <c r="K439" s="100"/>
      <c r="L439" s="100"/>
      <c r="M439" s="100"/>
      <c r="N439" s="54"/>
      <c r="Q439" s="107"/>
      <c r="R439" s="107"/>
    </row>
    <row r="440" spans="1:18" s="49" customFormat="1" ht="12.75" x14ac:dyDescent="0.2">
      <c r="A440" s="53"/>
      <c r="D440" s="54"/>
      <c r="E440" s="55"/>
      <c r="F440" s="56"/>
      <c r="H440" s="56"/>
      <c r="I440" s="100"/>
      <c r="K440" s="100"/>
      <c r="L440" s="100"/>
      <c r="M440" s="100"/>
      <c r="N440" s="54"/>
      <c r="Q440" s="107"/>
      <c r="R440" s="107"/>
    </row>
    <row r="441" spans="1:18" s="49" customFormat="1" ht="12.75" x14ac:dyDescent="0.2">
      <c r="A441" s="53"/>
      <c r="D441" s="54"/>
      <c r="E441" s="55"/>
      <c r="F441" s="56"/>
      <c r="H441" s="56"/>
      <c r="I441" s="100"/>
      <c r="K441" s="100"/>
      <c r="L441" s="100"/>
      <c r="M441" s="100"/>
      <c r="N441" s="54"/>
      <c r="Q441" s="107"/>
      <c r="R441" s="107"/>
    </row>
    <row r="442" spans="1:18" s="49" customFormat="1" ht="12.75" x14ac:dyDescent="0.2">
      <c r="A442" s="53"/>
      <c r="D442" s="54"/>
      <c r="E442" s="55"/>
      <c r="F442" s="56"/>
      <c r="H442" s="56"/>
      <c r="I442" s="100"/>
      <c r="K442" s="100"/>
      <c r="L442" s="100"/>
      <c r="M442" s="100"/>
      <c r="N442" s="54"/>
      <c r="Q442" s="107"/>
      <c r="R442" s="107"/>
    </row>
    <row r="443" spans="1:18" s="49" customFormat="1" ht="12.75" x14ac:dyDescent="0.2">
      <c r="A443" s="53"/>
      <c r="D443" s="54"/>
      <c r="E443" s="55"/>
      <c r="F443" s="56"/>
      <c r="H443" s="56"/>
      <c r="I443" s="100"/>
      <c r="K443" s="100"/>
      <c r="L443" s="100"/>
      <c r="M443" s="100"/>
      <c r="N443" s="54"/>
      <c r="Q443" s="107"/>
      <c r="R443" s="107"/>
    </row>
    <row r="444" spans="1:18" s="49" customFormat="1" ht="12.75" x14ac:dyDescent="0.2">
      <c r="A444" s="53"/>
      <c r="D444" s="54"/>
      <c r="E444" s="55"/>
      <c r="F444" s="56"/>
      <c r="H444" s="56"/>
      <c r="I444" s="100"/>
      <c r="K444" s="100"/>
      <c r="L444" s="100"/>
      <c r="M444" s="100"/>
      <c r="N444" s="54"/>
      <c r="Q444" s="107"/>
      <c r="R444" s="107"/>
    </row>
    <row r="445" spans="1:18" s="49" customFormat="1" ht="12.75" x14ac:dyDescent="0.2">
      <c r="A445" s="53"/>
      <c r="D445" s="54"/>
      <c r="E445" s="55"/>
      <c r="F445" s="56"/>
      <c r="H445" s="56"/>
      <c r="I445" s="100"/>
      <c r="K445" s="100"/>
      <c r="L445" s="100"/>
      <c r="M445" s="100"/>
      <c r="N445" s="54"/>
      <c r="Q445" s="107"/>
      <c r="R445" s="107"/>
    </row>
    <row r="446" spans="1:18" s="49" customFormat="1" ht="12.75" x14ac:dyDescent="0.2">
      <c r="A446" s="53"/>
      <c r="D446" s="54"/>
      <c r="E446" s="55"/>
      <c r="F446" s="56"/>
      <c r="H446" s="56"/>
      <c r="I446" s="100"/>
      <c r="K446" s="100"/>
      <c r="L446" s="100"/>
      <c r="M446" s="100"/>
      <c r="N446" s="54"/>
      <c r="Q446" s="107"/>
      <c r="R446" s="107"/>
    </row>
    <row r="447" spans="1:18" s="49" customFormat="1" ht="12.75" x14ac:dyDescent="0.2">
      <c r="A447" s="53"/>
      <c r="D447" s="54"/>
      <c r="E447" s="55"/>
      <c r="F447" s="56"/>
      <c r="H447" s="56"/>
      <c r="I447" s="100"/>
      <c r="K447" s="100"/>
      <c r="L447" s="100"/>
      <c r="M447" s="100"/>
      <c r="N447" s="54"/>
      <c r="Q447" s="107"/>
      <c r="R447" s="107"/>
    </row>
    <row r="448" spans="1:18" s="49" customFormat="1" ht="12.75" x14ac:dyDescent="0.2">
      <c r="A448" s="53"/>
      <c r="D448" s="54"/>
      <c r="E448" s="55"/>
      <c r="F448" s="56"/>
      <c r="H448" s="56"/>
      <c r="I448" s="100"/>
      <c r="K448" s="100"/>
      <c r="L448" s="100"/>
      <c r="M448" s="100"/>
      <c r="N448" s="54"/>
      <c r="Q448" s="107"/>
      <c r="R448" s="107"/>
    </row>
    <row r="449" spans="1:18" s="49" customFormat="1" ht="12.75" x14ac:dyDescent="0.2">
      <c r="A449" s="53"/>
      <c r="D449" s="54"/>
      <c r="E449" s="55"/>
      <c r="F449" s="56"/>
      <c r="H449" s="56"/>
      <c r="I449" s="100"/>
      <c r="K449" s="100"/>
      <c r="L449" s="100"/>
      <c r="M449" s="100"/>
      <c r="N449" s="54"/>
      <c r="Q449" s="107"/>
      <c r="R449" s="107"/>
    </row>
    <row r="450" spans="1:18" s="49" customFormat="1" ht="12.75" x14ac:dyDescent="0.2">
      <c r="A450" s="53"/>
      <c r="D450" s="54"/>
      <c r="E450" s="55"/>
      <c r="F450" s="56"/>
      <c r="H450" s="56"/>
      <c r="I450" s="100"/>
      <c r="K450" s="100"/>
      <c r="L450" s="100"/>
      <c r="M450" s="100"/>
      <c r="N450" s="54"/>
      <c r="Q450" s="107"/>
      <c r="R450" s="107"/>
    </row>
    <row r="451" spans="1:18" s="49" customFormat="1" ht="12.75" x14ac:dyDescent="0.2">
      <c r="A451" s="53"/>
      <c r="D451" s="54"/>
      <c r="E451" s="55"/>
      <c r="F451" s="56"/>
      <c r="H451" s="56"/>
      <c r="I451" s="100"/>
      <c r="K451" s="100"/>
      <c r="L451" s="100"/>
      <c r="M451" s="100"/>
      <c r="N451" s="54"/>
      <c r="Q451" s="107"/>
      <c r="R451" s="107"/>
    </row>
    <row r="452" spans="1:18" s="49" customFormat="1" ht="12.75" x14ac:dyDescent="0.2">
      <c r="A452" s="53"/>
      <c r="D452" s="54"/>
      <c r="E452" s="55"/>
      <c r="F452" s="56"/>
      <c r="H452" s="56"/>
      <c r="I452" s="100"/>
      <c r="K452" s="100"/>
      <c r="L452" s="100"/>
      <c r="M452" s="100"/>
      <c r="N452" s="54"/>
      <c r="Q452" s="107"/>
      <c r="R452" s="107"/>
    </row>
    <row r="453" spans="1:18" s="49" customFormat="1" ht="12.75" x14ac:dyDescent="0.2">
      <c r="A453" s="53"/>
      <c r="D453" s="54"/>
      <c r="E453" s="55"/>
      <c r="F453" s="56"/>
      <c r="H453" s="56"/>
      <c r="I453" s="100"/>
      <c r="K453" s="100"/>
      <c r="L453" s="100"/>
      <c r="M453" s="100"/>
      <c r="N453" s="54"/>
      <c r="Q453" s="107"/>
      <c r="R453" s="107"/>
    </row>
    <row r="454" spans="1:18" s="49" customFormat="1" ht="12.75" x14ac:dyDescent="0.2">
      <c r="A454" s="53"/>
      <c r="D454" s="54"/>
      <c r="E454" s="55"/>
      <c r="F454" s="56"/>
      <c r="H454" s="56"/>
      <c r="I454" s="100"/>
      <c r="K454" s="100"/>
      <c r="L454" s="100"/>
      <c r="M454" s="100"/>
      <c r="N454" s="54"/>
      <c r="Q454" s="107"/>
      <c r="R454" s="107"/>
    </row>
    <row r="455" spans="1:18" s="49" customFormat="1" ht="12.75" x14ac:dyDescent="0.2">
      <c r="A455" s="53"/>
      <c r="D455" s="54"/>
      <c r="E455" s="55"/>
      <c r="F455" s="56"/>
      <c r="H455" s="56"/>
      <c r="I455" s="100"/>
      <c r="K455" s="100"/>
      <c r="L455" s="100"/>
      <c r="M455" s="100"/>
      <c r="N455" s="54"/>
      <c r="Q455" s="107"/>
      <c r="R455" s="107"/>
    </row>
    <row r="456" spans="1:18" s="49" customFormat="1" ht="12.75" x14ac:dyDescent="0.2">
      <c r="A456" s="53"/>
      <c r="D456" s="54"/>
      <c r="E456" s="55"/>
      <c r="F456" s="56"/>
      <c r="H456" s="56"/>
      <c r="I456" s="100"/>
      <c r="K456" s="100"/>
      <c r="L456" s="100"/>
      <c r="M456" s="100"/>
      <c r="N456" s="54"/>
      <c r="Q456" s="107"/>
      <c r="R456" s="107"/>
    </row>
    <row r="457" spans="1:18" s="49" customFormat="1" ht="12.75" x14ac:dyDescent="0.2">
      <c r="A457" s="53"/>
      <c r="D457" s="54"/>
      <c r="E457" s="55"/>
      <c r="F457" s="56"/>
      <c r="H457" s="56"/>
      <c r="I457" s="100"/>
      <c r="K457" s="100"/>
      <c r="L457" s="100"/>
      <c r="M457" s="100"/>
      <c r="N457" s="54"/>
      <c r="Q457" s="107"/>
      <c r="R457" s="107"/>
    </row>
    <row r="458" spans="1:18" s="49" customFormat="1" ht="12.75" x14ac:dyDescent="0.2">
      <c r="A458" s="53"/>
      <c r="D458" s="54"/>
      <c r="E458" s="55"/>
      <c r="F458" s="56"/>
      <c r="H458" s="56"/>
      <c r="I458" s="100"/>
      <c r="K458" s="100"/>
      <c r="L458" s="100"/>
      <c r="M458" s="100"/>
      <c r="N458" s="54"/>
      <c r="Q458" s="107"/>
      <c r="R458" s="107"/>
    </row>
    <row r="459" spans="1:18" s="49" customFormat="1" ht="12.75" x14ac:dyDescent="0.2">
      <c r="A459" s="53"/>
      <c r="D459" s="54"/>
      <c r="E459" s="55"/>
      <c r="F459" s="56"/>
      <c r="H459" s="56"/>
      <c r="I459" s="100"/>
      <c r="K459" s="100"/>
      <c r="L459" s="100"/>
      <c r="M459" s="100"/>
      <c r="N459" s="54"/>
      <c r="Q459" s="107"/>
      <c r="R459" s="107"/>
    </row>
    <row r="460" spans="1:18" s="49" customFormat="1" ht="12.75" x14ac:dyDescent="0.2">
      <c r="A460" s="53"/>
      <c r="D460" s="54"/>
      <c r="E460" s="55"/>
      <c r="F460" s="56"/>
      <c r="H460" s="56"/>
      <c r="I460" s="100"/>
      <c r="K460" s="100"/>
      <c r="L460" s="100"/>
      <c r="M460" s="100"/>
      <c r="N460" s="54"/>
      <c r="Q460" s="107"/>
      <c r="R460" s="107"/>
    </row>
    <row r="461" spans="1:18" s="49" customFormat="1" ht="12.75" x14ac:dyDescent="0.2">
      <c r="A461" s="53"/>
      <c r="D461" s="54"/>
      <c r="E461" s="55"/>
      <c r="F461" s="56"/>
      <c r="H461" s="56"/>
      <c r="I461" s="100"/>
      <c r="K461" s="100"/>
      <c r="L461" s="100"/>
      <c r="M461" s="100"/>
      <c r="N461" s="54"/>
      <c r="Q461" s="107"/>
      <c r="R461" s="107"/>
    </row>
    <row r="462" spans="1:18" s="49" customFormat="1" ht="12.75" x14ac:dyDescent="0.2">
      <c r="A462" s="53"/>
      <c r="D462" s="54"/>
      <c r="E462" s="55"/>
      <c r="F462" s="56"/>
      <c r="H462" s="56"/>
      <c r="I462" s="100"/>
      <c r="K462" s="100"/>
      <c r="L462" s="100"/>
      <c r="M462" s="100"/>
      <c r="N462" s="54"/>
      <c r="Q462" s="107"/>
      <c r="R462" s="107"/>
    </row>
    <row r="463" spans="1:18" s="49" customFormat="1" ht="12.75" x14ac:dyDescent="0.2">
      <c r="A463" s="53"/>
      <c r="D463" s="54"/>
      <c r="E463" s="55"/>
      <c r="F463" s="56"/>
      <c r="H463" s="56"/>
      <c r="I463" s="100"/>
      <c r="K463" s="100"/>
      <c r="L463" s="100"/>
      <c r="M463" s="100"/>
      <c r="N463" s="54"/>
      <c r="Q463" s="107"/>
      <c r="R463" s="107"/>
    </row>
    <row r="464" spans="1:18" s="49" customFormat="1" ht="12.75" x14ac:dyDescent="0.2">
      <c r="A464" s="53"/>
      <c r="D464" s="54"/>
      <c r="E464" s="55"/>
      <c r="F464" s="56"/>
      <c r="H464" s="56"/>
      <c r="I464" s="100"/>
      <c r="K464" s="100"/>
      <c r="L464" s="100"/>
      <c r="M464" s="100"/>
      <c r="N464" s="54"/>
      <c r="Q464" s="107"/>
      <c r="R464" s="107"/>
    </row>
    <row r="465" spans="1:18" s="49" customFormat="1" ht="12.75" x14ac:dyDescent="0.2">
      <c r="A465" s="53"/>
      <c r="D465" s="54"/>
      <c r="E465" s="55"/>
      <c r="F465" s="56"/>
      <c r="H465" s="56"/>
      <c r="I465" s="100"/>
      <c r="K465" s="100"/>
      <c r="L465" s="100"/>
      <c r="M465" s="100"/>
      <c r="N465" s="54"/>
      <c r="Q465" s="107"/>
      <c r="R465" s="107"/>
    </row>
    <row r="466" spans="1:18" s="49" customFormat="1" ht="12.75" x14ac:dyDescent="0.2">
      <c r="A466" s="53"/>
      <c r="D466" s="54"/>
      <c r="E466" s="55"/>
      <c r="F466" s="56"/>
      <c r="H466" s="56"/>
      <c r="I466" s="100"/>
      <c r="K466" s="100"/>
      <c r="L466" s="100"/>
      <c r="M466" s="100"/>
      <c r="N466" s="54"/>
      <c r="Q466" s="107"/>
      <c r="R466" s="107"/>
    </row>
    <row r="467" spans="1:18" s="49" customFormat="1" ht="12.75" x14ac:dyDescent="0.2">
      <c r="A467" s="53"/>
      <c r="D467" s="54"/>
      <c r="E467" s="55"/>
      <c r="F467" s="56"/>
      <c r="H467" s="56"/>
      <c r="I467" s="100"/>
      <c r="K467" s="100"/>
      <c r="L467" s="100"/>
      <c r="M467" s="100"/>
      <c r="N467" s="54"/>
      <c r="Q467" s="107"/>
      <c r="R467" s="107"/>
    </row>
    <row r="468" spans="1:18" s="49" customFormat="1" ht="12.75" x14ac:dyDescent="0.2">
      <c r="A468" s="53"/>
      <c r="D468" s="54"/>
      <c r="E468" s="55"/>
      <c r="F468" s="56"/>
      <c r="H468" s="56"/>
      <c r="I468" s="100"/>
      <c r="K468" s="100"/>
      <c r="L468" s="100"/>
      <c r="M468" s="100"/>
      <c r="N468" s="54"/>
      <c r="Q468" s="107"/>
      <c r="R468" s="107"/>
    </row>
    <row r="469" spans="1:18" s="49" customFormat="1" ht="12.75" x14ac:dyDescent="0.2">
      <c r="A469" s="53"/>
      <c r="D469" s="54"/>
      <c r="E469" s="55"/>
      <c r="F469" s="56"/>
      <c r="H469" s="56"/>
      <c r="I469" s="100"/>
      <c r="K469" s="100"/>
      <c r="L469" s="100"/>
      <c r="M469" s="100"/>
      <c r="N469" s="54"/>
      <c r="Q469" s="107"/>
      <c r="R469" s="107"/>
    </row>
    <row r="470" spans="1:18" s="49" customFormat="1" ht="12.75" x14ac:dyDescent="0.2">
      <c r="A470" s="53"/>
      <c r="D470" s="54"/>
      <c r="E470" s="55"/>
      <c r="F470" s="56"/>
      <c r="H470" s="56"/>
      <c r="I470" s="100"/>
      <c r="K470" s="100"/>
      <c r="L470" s="100"/>
      <c r="M470" s="100"/>
      <c r="N470" s="54"/>
      <c r="Q470" s="107"/>
      <c r="R470" s="107"/>
    </row>
    <row r="471" spans="1:18" s="49" customFormat="1" ht="12.75" x14ac:dyDescent="0.2">
      <c r="A471" s="53"/>
      <c r="D471" s="54"/>
      <c r="E471" s="55"/>
      <c r="F471" s="56"/>
      <c r="H471" s="56"/>
      <c r="I471" s="100"/>
      <c r="K471" s="100"/>
      <c r="L471" s="100"/>
      <c r="M471" s="100"/>
      <c r="N471" s="54"/>
      <c r="Q471" s="107"/>
      <c r="R471" s="107"/>
    </row>
    <row r="472" spans="1:18" s="49" customFormat="1" ht="12.75" x14ac:dyDescent="0.2">
      <c r="A472" s="53"/>
      <c r="D472" s="54"/>
      <c r="E472" s="55"/>
      <c r="F472" s="56"/>
      <c r="H472" s="56"/>
      <c r="I472" s="100"/>
      <c r="K472" s="100"/>
      <c r="L472" s="100"/>
      <c r="M472" s="100"/>
      <c r="N472" s="54"/>
      <c r="Q472" s="107"/>
      <c r="R472" s="107"/>
    </row>
    <row r="473" spans="1:18" s="49" customFormat="1" ht="12.75" x14ac:dyDescent="0.2">
      <c r="A473" s="53"/>
      <c r="D473" s="54"/>
      <c r="E473" s="55"/>
      <c r="F473" s="56"/>
      <c r="H473" s="56"/>
      <c r="I473" s="100"/>
      <c r="K473" s="100"/>
      <c r="L473" s="100"/>
      <c r="M473" s="100"/>
      <c r="N473" s="54"/>
      <c r="Q473" s="107"/>
      <c r="R473" s="107"/>
    </row>
    <row r="474" spans="1:18" s="49" customFormat="1" ht="12.75" x14ac:dyDescent="0.2">
      <c r="A474" s="53"/>
      <c r="D474" s="54"/>
      <c r="E474" s="55"/>
      <c r="F474" s="56"/>
      <c r="H474" s="56"/>
      <c r="I474" s="100"/>
      <c r="K474" s="100"/>
      <c r="L474" s="100"/>
      <c r="M474" s="100"/>
      <c r="N474" s="54"/>
      <c r="Q474" s="107"/>
      <c r="R474" s="107"/>
    </row>
    <row r="475" spans="1:18" s="49" customFormat="1" ht="12.75" x14ac:dyDescent="0.2">
      <c r="A475" s="53"/>
      <c r="D475" s="54"/>
      <c r="E475" s="55"/>
      <c r="F475" s="56"/>
      <c r="H475" s="56"/>
      <c r="I475" s="100"/>
      <c r="K475" s="100"/>
      <c r="L475" s="100"/>
      <c r="M475" s="100"/>
      <c r="N475" s="54"/>
      <c r="Q475" s="107"/>
      <c r="R475" s="107"/>
    </row>
    <row r="476" spans="1:18" s="49" customFormat="1" ht="12.75" x14ac:dyDescent="0.2">
      <c r="A476" s="53"/>
      <c r="D476" s="54"/>
      <c r="E476" s="55"/>
      <c r="F476" s="56"/>
      <c r="H476" s="56"/>
      <c r="I476" s="100"/>
      <c r="K476" s="100"/>
      <c r="L476" s="100"/>
      <c r="M476" s="100"/>
      <c r="N476" s="54"/>
      <c r="Q476" s="107"/>
      <c r="R476" s="107"/>
    </row>
    <row r="477" spans="1:18" s="49" customFormat="1" ht="12.75" x14ac:dyDescent="0.2">
      <c r="A477" s="53"/>
      <c r="D477" s="54"/>
      <c r="E477" s="55"/>
      <c r="F477" s="56"/>
      <c r="H477" s="56"/>
      <c r="I477" s="100"/>
      <c r="K477" s="100"/>
      <c r="L477" s="100"/>
      <c r="M477" s="100"/>
      <c r="N477" s="54"/>
      <c r="Q477" s="107"/>
      <c r="R477" s="107"/>
    </row>
    <row r="478" spans="1:18" s="49" customFormat="1" ht="12.75" x14ac:dyDescent="0.2">
      <c r="A478" s="53"/>
      <c r="D478" s="54"/>
      <c r="E478" s="55"/>
      <c r="F478" s="56"/>
      <c r="H478" s="56"/>
      <c r="I478" s="100"/>
      <c r="K478" s="100"/>
      <c r="L478" s="100"/>
      <c r="M478" s="100"/>
      <c r="N478" s="54"/>
      <c r="Q478" s="107"/>
      <c r="R478" s="107"/>
    </row>
    <row r="479" spans="1:18" s="49" customFormat="1" ht="12.75" x14ac:dyDescent="0.2">
      <c r="A479" s="53"/>
      <c r="D479" s="54"/>
      <c r="E479" s="55"/>
      <c r="F479" s="56"/>
      <c r="H479" s="56"/>
      <c r="I479" s="100"/>
      <c r="K479" s="100"/>
      <c r="L479" s="100"/>
      <c r="M479" s="100"/>
      <c r="N479" s="54"/>
      <c r="Q479" s="107"/>
      <c r="R479" s="107"/>
    </row>
    <row r="480" spans="1:18" s="49" customFormat="1" ht="12.75" x14ac:dyDescent="0.2">
      <c r="A480" s="53"/>
      <c r="D480" s="54"/>
      <c r="E480" s="55"/>
      <c r="F480" s="56"/>
      <c r="H480" s="56"/>
      <c r="I480" s="100"/>
      <c r="K480" s="100"/>
      <c r="L480" s="100"/>
      <c r="M480" s="100"/>
      <c r="N480" s="54"/>
      <c r="Q480" s="107"/>
      <c r="R480" s="107"/>
    </row>
    <row r="481" spans="1:18" s="49" customFormat="1" ht="12.75" x14ac:dyDescent="0.2">
      <c r="A481" s="53"/>
      <c r="D481" s="54"/>
      <c r="E481" s="55"/>
      <c r="F481" s="56"/>
      <c r="H481" s="56"/>
      <c r="I481" s="100"/>
      <c r="K481" s="100"/>
      <c r="L481" s="100"/>
      <c r="M481" s="100"/>
      <c r="N481" s="54"/>
      <c r="Q481" s="107"/>
      <c r="R481" s="107"/>
    </row>
    <row r="482" spans="1:18" s="49" customFormat="1" ht="12.75" x14ac:dyDescent="0.2">
      <c r="A482" s="53"/>
      <c r="D482" s="54"/>
      <c r="E482" s="55"/>
      <c r="F482" s="56"/>
      <c r="H482" s="56"/>
      <c r="I482" s="100"/>
      <c r="K482" s="100"/>
      <c r="L482" s="100"/>
      <c r="M482" s="100"/>
      <c r="N482" s="54"/>
      <c r="Q482" s="107"/>
      <c r="R482" s="107"/>
    </row>
    <row r="483" spans="1:18" s="49" customFormat="1" ht="12.75" x14ac:dyDescent="0.2">
      <c r="A483" s="53"/>
      <c r="D483" s="54"/>
      <c r="E483" s="55"/>
      <c r="F483" s="56"/>
      <c r="H483" s="56"/>
      <c r="I483" s="100"/>
      <c r="K483" s="100"/>
      <c r="L483" s="100"/>
      <c r="M483" s="100"/>
      <c r="N483" s="54"/>
      <c r="Q483" s="107"/>
      <c r="R483" s="107"/>
    </row>
    <row r="484" spans="1:18" s="49" customFormat="1" ht="12.75" x14ac:dyDescent="0.2">
      <c r="A484" s="53"/>
      <c r="D484" s="54"/>
      <c r="E484" s="55"/>
      <c r="F484" s="56"/>
      <c r="H484" s="56"/>
      <c r="I484" s="100"/>
      <c r="K484" s="100"/>
      <c r="L484" s="100"/>
      <c r="M484" s="100"/>
      <c r="N484" s="54"/>
      <c r="Q484" s="107"/>
      <c r="R484" s="107"/>
    </row>
    <row r="485" spans="1:18" s="49" customFormat="1" ht="12.75" x14ac:dyDescent="0.2">
      <c r="A485" s="53"/>
      <c r="D485" s="54"/>
      <c r="E485" s="55"/>
      <c r="F485" s="56"/>
      <c r="H485" s="56"/>
      <c r="I485" s="100"/>
      <c r="K485" s="100"/>
      <c r="L485" s="100"/>
      <c r="M485" s="100"/>
      <c r="N485" s="54"/>
      <c r="Q485" s="107"/>
      <c r="R485" s="107"/>
    </row>
    <row r="486" spans="1:18" s="49" customFormat="1" ht="12.75" x14ac:dyDescent="0.2">
      <c r="A486" s="53"/>
      <c r="D486" s="54"/>
      <c r="E486" s="55"/>
      <c r="F486" s="56"/>
      <c r="H486" s="56"/>
      <c r="I486" s="100"/>
      <c r="K486" s="100"/>
      <c r="L486" s="100"/>
      <c r="M486" s="100"/>
      <c r="N486" s="54"/>
      <c r="Q486" s="107"/>
      <c r="R486" s="107"/>
    </row>
    <row r="487" spans="1:18" s="49" customFormat="1" ht="12.75" x14ac:dyDescent="0.2">
      <c r="A487" s="53"/>
      <c r="D487" s="54"/>
      <c r="E487" s="55"/>
      <c r="F487" s="56"/>
      <c r="H487" s="56"/>
      <c r="I487" s="100"/>
      <c r="K487" s="100"/>
      <c r="L487" s="100"/>
      <c r="M487" s="100"/>
      <c r="N487" s="54"/>
      <c r="Q487" s="107"/>
      <c r="R487" s="107"/>
    </row>
    <row r="488" spans="1:18" s="49" customFormat="1" ht="12.75" x14ac:dyDescent="0.2">
      <c r="A488" s="53"/>
      <c r="D488" s="54"/>
      <c r="E488" s="55"/>
      <c r="F488" s="56"/>
      <c r="H488" s="56"/>
      <c r="I488" s="100"/>
      <c r="K488" s="100"/>
      <c r="L488" s="100"/>
      <c r="M488" s="100"/>
      <c r="N488" s="54"/>
      <c r="Q488" s="107"/>
      <c r="R488" s="107"/>
    </row>
    <row r="489" spans="1:18" s="49" customFormat="1" ht="12.75" x14ac:dyDescent="0.2">
      <c r="A489" s="53"/>
      <c r="D489" s="54"/>
      <c r="E489" s="55"/>
      <c r="F489" s="56"/>
      <c r="H489" s="56"/>
      <c r="I489" s="100"/>
      <c r="K489" s="100"/>
      <c r="L489" s="100"/>
      <c r="M489" s="100"/>
      <c r="N489" s="54"/>
      <c r="Q489" s="107"/>
      <c r="R489" s="107"/>
    </row>
    <row r="490" spans="1:18" s="49" customFormat="1" ht="12.75" x14ac:dyDescent="0.2">
      <c r="A490" s="53"/>
      <c r="D490" s="54"/>
      <c r="E490" s="55"/>
      <c r="F490" s="56"/>
      <c r="H490" s="56"/>
      <c r="I490" s="100"/>
      <c r="K490" s="100"/>
      <c r="L490" s="100"/>
      <c r="M490" s="100"/>
      <c r="N490" s="54"/>
      <c r="Q490" s="107"/>
      <c r="R490" s="107"/>
    </row>
    <row r="491" spans="1:18" s="49" customFormat="1" ht="12.75" x14ac:dyDescent="0.2">
      <c r="A491" s="53"/>
      <c r="D491" s="54"/>
      <c r="E491" s="55"/>
      <c r="F491" s="56"/>
      <c r="H491" s="56"/>
      <c r="I491" s="100"/>
      <c r="K491" s="100"/>
      <c r="L491" s="100"/>
      <c r="M491" s="100"/>
      <c r="N491" s="54"/>
      <c r="Q491" s="107"/>
      <c r="R491" s="107"/>
    </row>
    <row r="492" spans="1:18" s="49" customFormat="1" ht="12.75" x14ac:dyDescent="0.2">
      <c r="A492" s="53"/>
      <c r="D492" s="54"/>
      <c r="E492" s="55"/>
      <c r="F492" s="56"/>
      <c r="H492" s="56"/>
      <c r="I492" s="100"/>
      <c r="K492" s="100"/>
      <c r="L492" s="100"/>
      <c r="M492" s="100"/>
      <c r="N492" s="54"/>
      <c r="Q492" s="107"/>
      <c r="R492" s="107"/>
    </row>
    <row r="493" spans="1:18" s="49" customFormat="1" ht="12.75" x14ac:dyDescent="0.2">
      <c r="A493" s="53"/>
      <c r="D493" s="54"/>
      <c r="E493" s="55"/>
      <c r="F493" s="56"/>
      <c r="H493" s="56"/>
      <c r="I493" s="100"/>
      <c r="K493" s="100"/>
      <c r="L493" s="100"/>
      <c r="M493" s="100"/>
      <c r="N493" s="54"/>
      <c r="Q493" s="107"/>
      <c r="R493" s="107"/>
    </row>
    <row r="494" spans="1:18" s="49" customFormat="1" ht="12.75" x14ac:dyDescent="0.2">
      <c r="A494" s="53"/>
      <c r="D494" s="54"/>
      <c r="E494" s="55"/>
      <c r="F494" s="56"/>
      <c r="H494" s="56"/>
      <c r="I494" s="100"/>
      <c r="K494" s="100"/>
      <c r="L494" s="100"/>
      <c r="M494" s="100"/>
      <c r="N494" s="54"/>
      <c r="Q494" s="107"/>
      <c r="R494" s="107"/>
    </row>
    <row r="495" spans="1:18" s="49" customFormat="1" ht="12.75" x14ac:dyDescent="0.2">
      <c r="A495" s="53"/>
      <c r="D495" s="54"/>
      <c r="E495" s="55"/>
      <c r="F495" s="56"/>
      <c r="H495" s="56"/>
      <c r="I495" s="100"/>
      <c r="K495" s="100"/>
      <c r="L495" s="100"/>
      <c r="M495" s="100"/>
      <c r="N495" s="54"/>
      <c r="Q495" s="107"/>
      <c r="R495" s="107"/>
    </row>
    <row r="496" spans="1:18" s="49" customFormat="1" ht="12.75" x14ac:dyDescent="0.2">
      <c r="A496" s="53"/>
      <c r="D496" s="54"/>
      <c r="E496" s="55"/>
      <c r="F496" s="56"/>
      <c r="H496" s="56"/>
      <c r="I496" s="100"/>
      <c r="K496" s="100"/>
      <c r="L496" s="100"/>
      <c r="M496" s="100"/>
      <c r="N496" s="54"/>
      <c r="Q496" s="107"/>
      <c r="R496" s="107"/>
    </row>
    <row r="497" spans="1:18" s="49" customFormat="1" ht="12.75" x14ac:dyDescent="0.2">
      <c r="A497" s="53"/>
      <c r="D497" s="54"/>
      <c r="E497" s="55"/>
      <c r="F497" s="56"/>
      <c r="H497" s="56"/>
      <c r="I497" s="100"/>
      <c r="K497" s="100"/>
      <c r="L497" s="100"/>
      <c r="M497" s="100"/>
      <c r="N497" s="54"/>
      <c r="Q497" s="107"/>
      <c r="R497" s="107"/>
    </row>
    <row r="498" spans="1:18" s="49" customFormat="1" ht="12.75" x14ac:dyDescent="0.2">
      <c r="A498" s="53"/>
      <c r="D498" s="54"/>
      <c r="E498" s="55"/>
      <c r="F498" s="56"/>
      <c r="H498" s="56"/>
      <c r="I498" s="100"/>
      <c r="K498" s="100"/>
      <c r="L498" s="100"/>
      <c r="M498" s="100"/>
      <c r="N498" s="54"/>
      <c r="Q498" s="107"/>
      <c r="R498" s="107"/>
    </row>
    <row r="499" spans="1:18" s="49" customFormat="1" ht="12.75" x14ac:dyDescent="0.2">
      <c r="A499" s="53"/>
      <c r="D499" s="54"/>
      <c r="E499" s="55"/>
      <c r="F499" s="56"/>
      <c r="H499" s="56"/>
      <c r="I499" s="100"/>
      <c r="K499" s="100"/>
      <c r="L499" s="100"/>
      <c r="M499" s="100"/>
      <c r="N499" s="54"/>
      <c r="Q499" s="107"/>
      <c r="R499" s="107"/>
    </row>
    <row r="500" spans="1:18" s="49" customFormat="1" ht="12.75" x14ac:dyDescent="0.2">
      <c r="A500" s="53"/>
      <c r="D500" s="54"/>
      <c r="E500" s="55"/>
      <c r="F500" s="56"/>
      <c r="H500" s="56"/>
      <c r="I500" s="100"/>
      <c r="K500" s="100"/>
      <c r="L500" s="100"/>
      <c r="M500" s="100"/>
      <c r="N500" s="54"/>
      <c r="Q500" s="107"/>
      <c r="R500" s="107"/>
    </row>
    <row r="501" spans="1:18" s="49" customFormat="1" ht="12.75" x14ac:dyDescent="0.2">
      <c r="A501" s="53"/>
      <c r="D501" s="54"/>
      <c r="E501" s="55"/>
      <c r="F501" s="56"/>
      <c r="H501" s="56"/>
      <c r="I501" s="100"/>
      <c r="K501" s="100"/>
      <c r="L501" s="100"/>
      <c r="M501" s="100"/>
      <c r="N501" s="54"/>
      <c r="Q501" s="107"/>
      <c r="R501" s="107"/>
    </row>
    <row r="502" spans="1:18" s="49" customFormat="1" ht="12.75" x14ac:dyDescent="0.2">
      <c r="A502" s="53"/>
      <c r="D502" s="54"/>
      <c r="E502" s="55"/>
      <c r="F502" s="56"/>
      <c r="H502" s="56"/>
      <c r="I502" s="100"/>
      <c r="K502" s="100"/>
      <c r="L502" s="100"/>
      <c r="M502" s="100"/>
      <c r="N502" s="54"/>
      <c r="Q502" s="107"/>
      <c r="R502" s="107"/>
    </row>
    <row r="503" spans="1:18" s="49" customFormat="1" ht="12.75" x14ac:dyDescent="0.2">
      <c r="A503" s="53"/>
      <c r="D503" s="54"/>
      <c r="E503" s="55"/>
      <c r="F503" s="56"/>
      <c r="H503" s="56"/>
      <c r="I503" s="100"/>
      <c r="K503" s="100"/>
      <c r="L503" s="100"/>
      <c r="M503" s="100"/>
      <c r="N503" s="54"/>
      <c r="Q503" s="107"/>
      <c r="R503" s="107"/>
    </row>
    <row r="504" spans="1:18" s="49" customFormat="1" ht="12.75" x14ac:dyDescent="0.2">
      <c r="A504" s="53"/>
      <c r="D504" s="54"/>
      <c r="E504" s="55"/>
      <c r="F504" s="56"/>
      <c r="H504" s="56"/>
      <c r="I504" s="100"/>
      <c r="K504" s="100"/>
      <c r="L504" s="100"/>
      <c r="M504" s="100"/>
      <c r="N504" s="54"/>
      <c r="Q504" s="107"/>
      <c r="R504" s="107"/>
    </row>
    <row r="505" spans="1:18" s="49" customFormat="1" ht="12.75" x14ac:dyDescent="0.2">
      <c r="A505" s="53"/>
      <c r="D505" s="54"/>
      <c r="E505" s="55"/>
      <c r="F505" s="56"/>
      <c r="H505" s="56"/>
      <c r="I505" s="100"/>
      <c r="K505" s="100"/>
      <c r="L505" s="100"/>
      <c r="M505" s="100"/>
      <c r="N505" s="54"/>
      <c r="Q505" s="107"/>
      <c r="R505" s="107"/>
    </row>
    <row r="506" spans="1:18" s="49" customFormat="1" ht="12.75" x14ac:dyDescent="0.2">
      <c r="A506" s="53"/>
      <c r="D506" s="54"/>
      <c r="E506" s="55"/>
      <c r="F506" s="56"/>
      <c r="H506" s="56"/>
      <c r="I506" s="100"/>
      <c r="K506" s="100"/>
      <c r="L506" s="100"/>
      <c r="M506" s="100"/>
      <c r="N506" s="54"/>
      <c r="Q506" s="107"/>
      <c r="R506" s="107"/>
    </row>
    <row r="507" spans="1:18" s="49" customFormat="1" ht="12.75" x14ac:dyDescent="0.2">
      <c r="A507" s="53"/>
      <c r="D507" s="54"/>
      <c r="E507" s="55"/>
      <c r="F507" s="56"/>
      <c r="H507" s="56"/>
      <c r="I507" s="100"/>
      <c r="K507" s="100"/>
      <c r="L507" s="100"/>
      <c r="M507" s="100"/>
      <c r="N507" s="54"/>
      <c r="Q507" s="107"/>
      <c r="R507" s="107"/>
    </row>
    <row r="508" spans="1:18" s="49" customFormat="1" ht="12.75" x14ac:dyDescent="0.2">
      <c r="A508" s="53"/>
      <c r="D508" s="54"/>
      <c r="E508" s="55"/>
      <c r="F508" s="56"/>
      <c r="H508" s="56"/>
      <c r="I508" s="100"/>
      <c r="K508" s="100"/>
      <c r="L508" s="100"/>
      <c r="M508" s="100"/>
      <c r="N508" s="54"/>
      <c r="Q508" s="107"/>
      <c r="R508" s="107"/>
    </row>
    <row r="509" spans="1:18" s="49" customFormat="1" ht="12.75" x14ac:dyDescent="0.2">
      <c r="A509" s="53"/>
      <c r="D509" s="54"/>
      <c r="E509" s="55"/>
      <c r="F509" s="56"/>
      <c r="H509" s="56"/>
      <c r="I509" s="100"/>
      <c r="K509" s="100"/>
      <c r="L509" s="100"/>
      <c r="M509" s="100"/>
      <c r="N509" s="54"/>
      <c r="Q509" s="107"/>
      <c r="R509" s="107"/>
    </row>
    <row r="510" spans="1:18" s="49" customFormat="1" ht="12.75" x14ac:dyDescent="0.2">
      <c r="A510" s="53"/>
      <c r="D510" s="54"/>
      <c r="E510" s="55"/>
      <c r="F510" s="56"/>
      <c r="H510" s="56"/>
      <c r="I510" s="100"/>
      <c r="K510" s="100"/>
      <c r="L510" s="100"/>
      <c r="M510" s="100"/>
      <c r="N510" s="54"/>
      <c r="Q510" s="107"/>
      <c r="R510" s="107"/>
    </row>
    <row r="511" spans="1:18" s="49" customFormat="1" ht="12.75" x14ac:dyDescent="0.2">
      <c r="A511" s="53"/>
      <c r="D511" s="54"/>
      <c r="E511" s="55"/>
      <c r="F511" s="56"/>
      <c r="H511" s="56"/>
      <c r="I511" s="100"/>
      <c r="K511" s="100"/>
      <c r="L511" s="100"/>
      <c r="M511" s="100"/>
      <c r="N511" s="54"/>
      <c r="Q511" s="107"/>
      <c r="R511" s="107"/>
    </row>
    <row r="512" spans="1:18" s="49" customFormat="1" ht="12.75" x14ac:dyDescent="0.2">
      <c r="A512" s="53"/>
      <c r="D512" s="54"/>
      <c r="E512" s="55"/>
      <c r="F512" s="56"/>
      <c r="H512" s="56"/>
      <c r="I512" s="100"/>
      <c r="K512" s="100"/>
      <c r="L512" s="100"/>
      <c r="M512" s="100"/>
      <c r="N512" s="54"/>
      <c r="Q512" s="107"/>
      <c r="R512" s="107"/>
    </row>
    <row r="513" spans="1:18" s="49" customFormat="1" ht="12.75" x14ac:dyDescent="0.2">
      <c r="A513" s="53"/>
      <c r="D513" s="54"/>
      <c r="E513" s="55"/>
      <c r="F513" s="56"/>
      <c r="H513" s="56"/>
      <c r="I513" s="100"/>
      <c r="K513" s="100"/>
      <c r="L513" s="100"/>
      <c r="M513" s="100"/>
      <c r="N513" s="54"/>
      <c r="Q513" s="107"/>
      <c r="R513" s="107"/>
    </row>
    <row r="514" spans="1:18" s="49" customFormat="1" ht="12.75" x14ac:dyDescent="0.2">
      <c r="A514" s="53"/>
      <c r="D514" s="54"/>
      <c r="E514" s="55"/>
      <c r="F514" s="56"/>
      <c r="H514" s="56"/>
      <c r="I514" s="100"/>
      <c r="K514" s="100"/>
      <c r="L514" s="100"/>
      <c r="M514" s="100"/>
      <c r="N514" s="54"/>
      <c r="Q514" s="107"/>
      <c r="R514" s="107"/>
    </row>
    <row r="515" spans="1:18" s="49" customFormat="1" ht="12.75" x14ac:dyDescent="0.2">
      <c r="A515" s="53"/>
      <c r="D515" s="54"/>
      <c r="E515" s="55"/>
      <c r="F515" s="56"/>
      <c r="H515" s="56"/>
      <c r="I515" s="100"/>
      <c r="K515" s="100"/>
      <c r="L515" s="100"/>
      <c r="M515" s="100"/>
      <c r="N515" s="54"/>
      <c r="Q515" s="107"/>
      <c r="R515" s="107"/>
    </row>
    <row r="516" spans="1:18" s="49" customFormat="1" ht="12.75" x14ac:dyDescent="0.2">
      <c r="A516" s="53"/>
      <c r="D516" s="54"/>
      <c r="E516" s="55"/>
      <c r="F516" s="56"/>
      <c r="H516" s="56"/>
      <c r="I516" s="100"/>
      <c r="K516" s="100"/>
      <c r="L516" s="100"/>
      <c r="M516" s="100"/>
      <c r="N516" s="54"/>
      <c r="Q516" s="107"/>
      <c r="R516" s="107"/>
    </row>
    <row r="517" spans="1:18" s="49" customFormat="1" ht="12.75" x14ac:dyDescent="0.2">
      <c r="A517" s="53"/>
      <c r="D517" s="54"/>
      <c r="E517" s="55"/>
      <c r="F517" s="56"/>
      <c r="H517" s="56"/>
      <c r="I517" s="100"/>
      <c r="K517" s="100"/>
      <c r="L517" s="100"/>
      <c r="M517" s="100"/>
      <c r="N517" s="54"/>
      <c r="Q517" s="107"/>
      <c r="R517" s="107"/>
    </row>
    <row r="518" spans="1:18" s="49" customFormat="1" ht="12.75" x14ac:dyDescent="0.2">
      <c r="A518" s="53"/>
      <c r="D518" s="54"/>
      <c r="E518" s="55"/>
      <c r="F518" s="56"/>
      <c r="H518" s="56"/>
      <c r="I518" s="100"/>
      <c r="K518" s="100"/>
      <c r="L518" s="100"/>
      <c r="M518" s="100"/>
      <c r="N518" s="54"/>
      <c r="Q518" s="107"/>
      <c r="R518" s="107"/>
    </row>
    <row r="519" spans="1:18" s="49" customFormat="1" ht="12.75" x14ac:dyDescent="0.2">
      <c r="A519" s="53"/>
      <c r="D519" s="54"/>
      <c r="E519" s="55"/>
      <c r="F519" s="56"/>
      <c r="H519" s="56"/>
      <c r="I519" s="100"/>
      <c r="K519" s="100"/>
      <c r="L519" s="100"/>
      <c r="M519" s="100"/>
      <c r="N519" s="54"/>
      <c r="Q519" s="107"/>
      <c r="R519" s="107"/>
    </row>
    <row r="520" spans="1:18" s="49" customFormat="1" ht="12.75" x14ac:dyDescent="0.2">
      <c r="A520" s="53"/>
      <c r="D520" s="54"/>
      <c r="E520" s="55"/>
      <c r="F520" s="56"/>
      <c r="H520" s="56"/>
      <c r="I520" s="100"/>
      <c r="K520" s="100"/>
      <c r="L520" s="100"/>
      <c r="M520" s="100"/>
      <c r="N520" s="54"/>
      <c r="Q520" s="107"/>
      <c r="R520" s="107"/>
    </row>
    <row r="521" spans="1:18" s="49" customFormat="1" ht="12.75" x14ac:dyDescent="0.2">
      <c r="A521" s="53"/>
      <c r="D521" s="54"/>
      <c r="E521" s="55"/>
      <c r="F521" s="56"/>
      <c r="H521" s="56"/>
      <c r="I521" s="100"/>
      <c r="K521" s="100"/>
      <c r="L521" s="100"/>
      <c r="M521" s="100"/>
      <c r="N521" s="54"/>
      <c r="Q521" s="107"/>
      <c r="R521" s="107"/>
    </row>
    <row r="522" spans="1:18" s="49" customFormat="1" ht="12.75" x14ac:dyDescent="0.2">
      <c r="A522" s="53"/>
      <c r="D522" s="54"/>
      <c r="E522" s="55"/>
      <c r="F522" s="56"/>
      <c r="H522" s="56"/>
      <c r="I522" s="100"/>
      <c r="K522" s="100"/>
      <c r="L522" s="100"/>
      <c r="M522" s="100"/>
      <c r="N522" s="54"/>
      <c r="Q522" s="107"/>
      <c r="R522" s="107"/>
    </row>
    <row r="523" spans="1:18" s="49" customFormat="1" ht="12.75" x14ac:dyDescent="0.2">
      <c r="A523" s="53"/>
      <c r="D523" s="54"/>
      <c r="E523" s="55"/>
      <c r="F523" s="56"/>
      <c r="H523" s="56"/>
      <c r="I523" s="100"/>
      <c r="K523" s="100"/>
      <c r="L523" s="100"/>
      <c r="M523" s="100"/>
      <c r="N523" s="54"/>
      <c r="Q523" s="107"/>
      <c r="R523" s="107"/>
    </row>
    <row r="524" spans="1:18" s="49" customFormat="1" ht="12.75" x14ac:dyDescent="0.2">
      <c r="A524" s="53"/>
      <c r="D524" s="54"/>
      <c r="E524" s="55"/>
      <c r="F524" s="56"/>
      <c r="H524" s="56"/>
      <c r="I524" s="100"/>
      <c r="K524" s="100"/>
      <c r="L524" s="100"/>
      <c r="M524" s="100"/>
      <c r="N524" s="54"/>
      <c r="Q524" s="107"/>
      <c r="R524" s="107"/>
    </row>
    <row r="525" spans="1:18" s="49" customFormat="1" ht="12.75" x14ac:dyDescent="0.2">
      <c r="A525" s="53"/>
      <c r="D525" s="54"/>
      <c r="E525" s="55"/>
      <c r="F525" s="56"/>
      <c r="H525" s="56"/>
      <c r="I525" s="100"/>
      <c r="K525" s="100"/>
      <c r="L525" s="100"/>
      <c r="M525" s="100"/>
      <c r="N525" s="54"/>
      <c r="Q525" s="107"/>
      <c r="R525" s="107"/>
    </row>
    <row r="526" spans="1:18" s="49" customFormat="1" ht="12.75" x14ac:dyDescent="0.2">
      <c r="A526" s="53"/>
      <c r="D526" s="54"/>
      <c r="E526" s="55"/>
      <c r="F526" s="56"/>
      <c r="H526" s="56"/>
      <c r="I526" s="100"/>
      <c r="K526" s="100"/>
      <c r="L526" s="100"/>
      <c r="M526" s="100"/>
      <c r="N526" s="54"/>
      <c r="Q526" s="107"/>
      <c r="R526" s="107"/>
    </row>
    <row r="527" spans="1:18" s="49" customFormat="1" ht="12.75" x14ac:dyDescent="0.2">
      <c r="A527" s="53"/>
      <c r="D527" s="54"/>
      <c r="E527" s="55"/>
      <c r="F527" s="56"/>
      <c r="H527" s="56"/>
      <c r="I527" s="100"/>
      <c r="K527" s="100"/>
      <c r="L527" s="100"/>
      <c r="M527" s="100"/>
      <c r="N527" s="54"/>
      <c r="Q527" s="107"/>
      <c r="R527" s="107"/>
    </row>
    <row r="528" spans="1:18" s="49" customFormat="1" ht="12.75" x14ac:dyDescent="0.2">
      <c r="A528" s="53"/>
      <c r="D528" s="54"/>
      <c r="E528" s="55"/>
      <c r="F528" s="56"/>
      <c r="H528" s="56"/>
      <c r="I528" s="100"/>
      <c r="K528" s="100"/>
      <c r="L528" s="100"/>
      <c r="M528" s="100"/>
      <c r="N528" s="54"/>
      <c r="Q528" s="107"/>
      <c r="R528" s="107"/>
    </row>
    <row r="529" spans="1:18" s="49" customFormat="1" ht="12.75" x14ac:dyDescent="0.2">
      <c r="A529" s="53"/>
      <c r="D529" s="54"/>
      <c r="E529" s="55"/>
      <c r="F529" s="56"/>
      <c r="H529" s="56"/>
      <c r="I529" s="100"/>
      <c r="K529" s="100"/>
      <c r="L529" s="100"/>
      <c r="M529" s="100"/>
      <c r="N529" s="54"/>
      <c r="Q529" s="107"/>
      <c r="R529" s="107"/>
    </row>
    <row r="530" spans="1:18" s="49" customFormat="1" ht="12.75" x14ac:dyDescent="0.2">
      <c r="A530" s="53"/>
      <c r="D530" s="54"/>
      <c r="E530" s="55"/>
      <c r="F530" s="56"/>
      <c r="H530" s="56"/>
      <c r="I530" s="100"/>
      <c r="K530" s="100"/>
      <c r="L530" s="100"/>
      <c r="M530" s="100"/>
      <c r="N530" s="54"/>
      <c r="Q530" s="107"/>
      <c r="R530" s="107"/>
    </row>
    <row r="531" spans="1:18" s="49" customFormat="1" ht="12.75" x14ac:dyDescent="0.2">
      <c r="A531" s="53"/>
      <c r="D531" s="54"/>
      <c r="E531" s="55"/>
      <c r="F531" s="56"/>
      <c r="H531" s="56"/>
      <c r="I531" s="100"/>
      <c r="K531" s="100"/>
      <c r="L531" s="100"/>
      <c r="M531" s="100"/>
      <c r="N531" s="54"/>
      <c r="Q531" s="107"/>
      <c r="R531" s="107"/>
    </row>
    <row r="532" spans="1:18" s="49" customFormat="1" ht="12.75" x14ac:dyDescent="0.2">
      <c r="A532" s="53"/>
      <c r="D532" s="54"/>
      <c r="E532" s="55"/>
      <c r="F532" s="56"/>
      <c r="H532" s="56"/>
      <c r="I532" s="100"/>
      <c r="K532" s="100"/>
      <c r="L532" s="100"/>
      <c r="M532" s="100"/>
      <c r="N532" s="54"/>
      <c r="Q532" s="107"/>
      <c r="R532" s="107"/>
    </row>
    <row r="533" spans="1:18" s="49" customFormat="1" ht="12.75" x14ac:dyDescent="0.2">
      <c r="A533" s="53"/>
      <c r="D533" s="54"/>
      <c r="E533" s="55"/>
      <c r="F533" s="56"/>
      <c r="H533" s="56"/>
      <c r="I533" s="100"/>
      <c r="K533" s="100"/>
      <c r="L533" s="100"/>
      <c r="M533" s="100"/>
      <c r="N533" s="54"/>
      <c r="Q533" s="107"/>
      <c r="R533" s="107"/>
    </row>
    <row r="534" spans="1:18" s="49" customFormat="1" ht="12.75" x14ac:dyDescent="0.2">
      <c r="A534" s="53"/>
      <c r="D534" s="54"/>
      <c r="E534" s="55"/>
      <c r="F534" s="56"/>
      <c r="H534" s="56"/>
      <c r="I534" s="100"/>
      <c r="K534" s="100"/>
      <c r="L534" s="100"/>
      <c r="M534" s="100"/>
      <c r="N534" s="54"/>
      <c r="Q534" s="107"/>
      <c r="R534" s="107"/>
    </row>
    <row r="535" spans="1:18" s="49" customFormat="1" ht="12.75" x14ac:dyDescent="0.2">
      <c r="A535" s="53"/>
      <c r="D535" s="54"/>
      <c r="E535" s="55"/>
      <c r="F535" s="56"/>
      <c r="H535" s="56"/>
      <c r="I535" s="100"/>
      <c r="K535" s="100"/>
      <c r="L535" s="100"/>
      <c r="M535" s="100"/>
      <c r="N535" s="54"/>
      <c r="Q535" s="107"/>
      <c r="R535" s="107"/>
    </row>
    <row r="536" spans="1:18" s="49" customFormat="1" ht="12.75" x14ac:dyDescent="0.2">
      <c r="A536" s="53"/>
      <c r="D536" s="54"/>
      <c r="E536" s="55"/>
      <c r="F536" s="56"/>
      <c r="H536" s="56"/>
      <c r="I536" s="100"/>
      <c r="K536" s="100"/>
      <c r="L536" s="100"/>
      <c r="M536" s="100"/>
      <c r="N536" s="54"/>
      <c r="Q536" s="107"/>
      <c r="R536" s="107"/>
    </row>
    <row r="537" spans="1:18" s="49" customFormat="1" ht="12.75" x14ac:dyDescent="0.2">
      <c r="A537" s="53"/>
      <c r="D537" s="54"/>
      <c r="E537" s="55"/>
      <c r="F537" s="56"/>
      <c r="H537" s="56"/>
      <c r="I537" s="100"/>
      <c r="K537" s="100"/>
      <c r="L537" s="100"/>
      <c r="M537" s="100"/>
      <c r="N537" s="54"/>
      <c r="Q537" s="107"/>
      <c r="R537" s="107"/>
    </row>
    <row r="538" spans="1:18" s="49" customFormat="1" ht="12.75" x14ac:dyDescent="0.2">
      <c r="A538" s="53"/>
      <c r="D538" s="54"/>
      <c r="E538" s="55"/>
      <c r="F538" s="56"/>
      <c r="H538" s="56"/>
      <c r="I538" s="100"/>
      <c r="K538" s="100"/>
      <c r="L538" s="100"/>
      <c r="M538" s="100"/>
      <c r="N538" s="54"/>
      <c r="Q538" s="107"/>
      <c r="R538" s="107"/>
    </row>
    <row r="539" spans="1:18" s="49" customFormat="1" ht="12.75" x14ac:dyDescent="0.2">
      <c r="A539" s="53"/>
      <c r="D539" s="54"/>
      <c r="E539" s="55"/>
      <c r="F539" s="56"/>
      <c r="H539" s="56"/>
      <c r="I539" s="100"/>
      <c r="K539" s="100"/>
      <c r="L539" s="100"/>
      <c r="M539" s="100"/>
      <c r="N539" s="54"/>
      <c r="Q539" s="107"/>
      <c r="R539" s="107"/>
    </row>
    <row r="540" spans="1:18" s="49" customFormat="1" ht="12.75" x14ac:dyDescent="0.2">
      <c r="A540" s="53"/>
      <c r="D540" s="54"/>
      <c r="E540" s="55"/>
      <c r="F540" s="56"/>
      <c r="H540" s="56"/>
      <c r="I540" s="100"/>
      <c r="K540" s="100"/>
      <c r="L540" s="100"/>
      <c r="M540" s="100"/>
      <c r="N540" s="54"/>
      <c r="Q540" s="107"/>
      <c r="R540" s="107"/>
    </row>
    <row r="541" spans="1:18" s="49" customFormat="1" ht="12.75" x14ac:dyDescent="0.2">
      <c r="A541" s="53"/>
      <c r="D541" s="54"/>
      <c r="E541" s="55"/>
      <c r="F541" s="56"/>
      <c r="H541" s="56"/>
      <c r="I541" s="100"/>
      <c r="K541" s="100"/>
      <c r="L541" s="100"/>
      <c r="M541" s="100"/>
      <c r="N541" s="54"/>
      <c r="Q541" s="107"/>
      <c r="R541" s="107"/>
    </row>
    <row r="542" spans="1:18" s="49" customFormat="1" ht="12.75" x14ac:dyDescent="0.2">
      <c r="A542" s="53"/>
      <c r="D542" s="54"/>
      <c r="E542" s="55"/>
      <c r="F542" s="56"/>
      <c r="H542" s="56"/>
      <c r="I542" s="100"/>
      <c r="K542" s="100"/>
      <c r="L542" s="100"/>
      <c r="M542" s="100"/>
      <c r="N542" s="54"/>
      <c r="Q542" s="107"/>
      <c r="R542" s="107"/>
    </row>
    <row r="543" spans="1:18" s="49" customFormat="1" ht="12.75" x14ac:dyDescent="0.2">
      <c r="A543" s="53"/>
      <c r="D543" s="54"/>
      <c r="E543" s="55"/>
      <c r="F543" s="56"/>
      <c r="H543" s="56"/>
      <c r="I543" s="100"/>
      <c r="K543" s="100"/>
      <c r="L543" s="100"/>
      <c r="M543" s="100"/>
      <c r="N543" s="54"/>
      <c r="Q543" s="107"/>
      <c r="R543" s="107"/>
    </row>
    <row r="544" spans="1:18" s="49" customFormat="1" ht="12.75" x14ac:dyDescent="0.2">
      <c r="A544" s="53"/>
      <c r="D544" s="54"/>
      <c r="E544" s="55"/>
      <c r="F544" s="56"/>
      <c r="H544" s="56"/>
      <c r="I544" s="100"/>
      <c r="K544" s="100"/>
      <c r="L544" s="100"/>
      <c r="M544" s="100"/>
      <c r="N544" s="54"/>
      <c r="Q544" s="107"/>
      <c r="R544" s="107"/>
    </row>
    <row r="545" spans="1:18" s="49" customFormat="1" ht="12.75" x14ac:dyDescent="0.2">
      <c r="A545" s="53"/>
      <c r="D545" s="54"/>
      <c r="E545" s="55"/>
      <c r="F545" s="56"/>
      <c r="H545" s="56"/>
      <c r="I545" s="100"/>
      <c r="K545" s="100"/>
      <c r="L545" s="100"/>
      <c r="M545" s="100"/>
      <c r="N545" s="54"/>
      <c r="Q545" s="107"/>
      <c r="R545" s="107"/>
    </row>
    <row r="546" spans="1:18" s="49" customFormat="1" ht="12.75" x14ac:dyDescent="0.2">
      <c r="A546" s="53"/>
      <c r="D546" s="54"/>
      <c r="E546" s="55"/>
      <c r="F546" s="56"/>
      <c r="H546" s="56"/>
      <c r="I546" s="100"/>
      <c r="K546" s="100"/>
      <c r="L546" s="100"/>
      <c r="M546" s="100"/>
      <c r="N546" s="54"/>
      <c r="Q546" s="107"/>
      <c r="R546" s="107"/>
    </row>
    <row r="547" spans="1:18" s="49" customFormat="1" ht="12.75" x14ac:dyDescent="0.2">
      <c r="A547" s="53"/>
      <c r="D547" s="54"/>
      <c r="E547" s="55"/>
      <c r="F547" s="56"/>
      <c r="H547" s="56"/>
      <c r="I547" s="100"/>
      <c r="K547" s="100"/>
      <c r="L547" s="100"/>
      <c r="M547" s="100"/>
      <c r="N547" s="54"/>
      <c r="Q547" s="107"/>
      <c r="R547" s="107"/>
    </row>
    <row r="548" spans="1:18" s="49" customFormat="1" ht="12.75" x14ac:dyDescent="0.2">
      <c r="A548" s="53"/>
      <c r="D548" s="54"/>
      <c r="E548" s="55"/>
      <c r="F548" s="56"/>
      <c r="H548" s="56"/>
      <c r="I548" s="100"/>
      <c r="K548" s="100"/>
      <c r="L548" s="100"/>
      <c r="M548" s="100"/>
      <c r="N548" s="54"/>
      <c r="Q548" s="107"/>
      <c r="R548" s="107"/>
    </row>
    <row r="549" spans="1:18" s="49" customFormat="1" ht="12.75" x14ac:dyDescent="0.2">
      <c r="A549" s="53"/>
      <c r="D549" s="54"/>
      <c r="E549" s="55"/>
      <c r="F549" s="56"/>
      <c r="H549" s="56"/>
      <c r="I549" s="100"/>
      <c r="K549" s="100"/>
      <c r="L549" s="100"/>
      <c r="M549" s="100"/>
      <c r="N549" s="54"/>
      <c r="Q549" s="107"/>
      <c r="R549" s="107"/>
    </row>
    <row r="550" spans="1:18" s="49" customFormat="1" ht="12.75" x14ac:dyDescent="0.2">
      <c r="A550" s="53"/>
      <c r="D550" s="54"/>
      <c r="E550" s="55"/>
      <c r="F550" s="56"/>
      <c r="H550" s="56"/>
      <c r="I550" s="100"/>
      <c r="K550" s="100"/>
      <c r="L550" s="100"/>
      <c r="M550" s="100"/>
      <c r="N550" s="54"/>
      <c r="Q550" s="107"/>
      <c r="R550" s="107"/>
    </row>
    <row r="551" spans="1:18" s="49" customFormat="1" ht="12.75" x14ac:dyDescent="0.2">
      <c r="A551" s="53"/>
      <c r="D551" s="54"/>
      <c r="E551" s="55"/>
      <c r="F551" s="56"/>
      <c r="H551" s="56"/>
      <c r="I551" s="100"/>
      <c r="K551" s="100"/>
      <c r="L551" s="100"/>
      <c r="M551" s="100"/>
      <c r="N551" s="54"/>
      <c r="Q551" s="107"/>
      <c r="R551" s="107"/>
    </row>
    <row r="552" spans="1:18" s="49" customFormat="1" ht="12.75" x14ac:dyDescent="0.2">
      <c r="A552" s="53"/>
      <c r="D552" s="54"/>
      <c r="E552" s="55"/>
      <c r="F552" s="56"/>
      <c r="H552" s="56"/>
      <c r="I552" s="100"/>
      <c r="K552" s="100"/>
      <c r="L552" s="100"/>
      <c r="M552" s="100"/>
      <c r="N552" s="54"/>
      <c r="Q552" s="107"/>
      <c r="R552" s="107"/>
    </row>
    <row r="553" spans="1:18" s="49" customFormat="1" ht="12.75" x14ac:dyDescent="0.2">
      <c r="A553" s="53"/>
      <c r="D553" s="54"/>
      <c r="E553" s="55"/>
      <c r="F553" s="56"/>
      <c r="H553" s="56"/>
      <c r="I553" s="100"/>
      <c r="K553" s="100"/>
      <c r="L553" s="100"/>
      <c r="M553" s="100"/>
      <c r="N553" s="54"/>
      <c r="Q553" s="107"/>
      <c r="R553" s="107"/>
    </row>
    <row r="554" spans="1:18" s="49" customFormat="1" ht="12.75" x14ac:dyDescent="0.2">
      <c r="A554" s="53"/>
      <c r="D554" s="54"/>
      <c r="E554" s="55"/>
      <c r="F554" s="56"/>
      <c r="H554" s="56"/>
      <c r="I554" s="100"/>
      <c r="K554" s="100"/>
      <c r="L554" s="100"/>
      <c r="M554" s="100"/>
      <c r="N554" s="54"/>
      <c r="Q554" s="107"/>
      <c r="R554" s="107"/>
    </row>
    <row r="555" spans="1:18" s="49" customFormat="1" ht="12.75" x14ac:dyDescent="0.2">
      <c r="A555" s="53"/>
      <c r="D555" s="54"/>
      <c r="E555" s="55"/>
      <c r="F555" s="56"/>
      <c r="H555" s="56"/>
      <c r="I555" s="100"/>
      <c r="K555" s="100"/>
      <c r="L555" s="100"/>
      <c r="M555" s="100"/>
      <c r="N555" s="54"/>
      <c r="Q555" s="107"/>
      <c r="R555" s="107"/>
    </row>
    <row r="556" spans="1:18" s="49" customFormat="1" ht="12.75" x14ac:dyDescent="0.2">
      <c r="A556" s="53"/>
      <c r="D556" s="54"/>
      <c r="E556" s="55"/>
      <c r="F556" s="56"/>
      <c r="H556" s="56"/>
      <c r="I556" s="100"/>
      <c r="K556" s="100"/>
      <c r="L556" s="100"/>
      <c r="M556" s="100"/>
      <c r="N556" s="54"/>
      <c r="Q556" s="107"/>
      <c r="R556" s="107"/>
    </row>
    <row r="557" spans="1:18" s="49" customFormat="1" ht="12.75" x14ac:dyDescent="0.2">
      <c r="A557" s="53"/>
      <c r="D557" s="54"/>
      <c r="E557" s="55"/>
      <c r="F557" s="56"/>
      <c r="H557" s="56"/>
      <c r="I557" s="100"/>
      <c r="K557" s="100"/>
      <c r="L557" s="100"/>
      <c r="M557" s="100"/>
      <c r="N557" s="54"/>
      <c r="Q557" s="107"/>
      <c r="R557" s="107"/>
    </row>
    <row r="558" spans="1:18" s="49" customFormat="1" ht="12.75" x14ac:dyDescent="0.2">
      <c r="A558" s="53"/>
      <c r="D558" s="54"/>
      <c r="E558" s="55"/>
      <c r="F558" s="56"/>
      <c r="H558" s="56"/>
      <c r="I558" s="100"/>
      <c r="K558" s="100"/>
      <c r="L558" s="100"/>
      <c r="M558" s="100"/>
      <c r="N558" s="54"/>
      <c r="Q558" s="107"/>
      <c r="R558" s="107"/>
    </row>
    <row r="559" spans="1:18" s="49" customFormat="1" ht="12.75" x14ac:dyDescent="0.2">
      <c r="A559" s="53"/>
      <c r="D559" s="54"/>
      <c r="E559" s="55"/>
      <c r="F559" s="56"/>
      <c r="H559" s="56"/>
      <c r="I559" s="100"/>
      <c r="K559" s="100"/>
      <c r="L559" s="100"/>
      <c r="M559" s="100"/>
      <c r="N559" s="54"/>
      <c r="Q559" s="107"/>
      <c r="R559" s="107"/>
    </row>
    <row r="560" spans="1:18" s="49" customFormat="1" ht="12.75" x14ac:dyDescent="0.2">
      <c r="A560" s="53"/>
      <c r="D560" s="54"/>
      <c r="E560" s="55"/>
      <c r="F560" s="56"/>
      <c r="H560" s="56"/>
      <c r="I560" s="100"/>
      <c r="K560" s="100"/>
      <c r="L560" s="100"/>
      <c r="M560" s="100"/>
      <c r="N560" s="54"/>
      <c r="Q560" s="107"/>
      <c r="R560" s="107"/>
    </row>
    <row r="561" spans="1:18" s="49" customFormat="1" ht="12.75" x14ac:dyDescent="0.2">
      <c r="A561" s="53"/>
      <c r="D561" s="54"/>
      <c r="E561" s="55"/>
      <c r="F561" s="56"/>
      <c r="H561" s="56"/>
      <c r="I561" s="100"/>
      <c r="K561" s="100"/>
      <c r="L561" s="100"/>
      <c r="M561" s="100"/>
      <c r="N561" s="54"/>
      <c r="Q561" s="107"/>
      <c r="R561" s="107"/>
    </row>
    <row r="562" spans="1:18" s="49" customFormat="1" ht="12.75" x14ac:dyDescent="0.2">
      <c r="A562" s="53"/>
      <c r="D562" s="54"/>
      <c r="E562" s="55"/>
      <c r="F562" s="56"/>
      <c r="H562" s="56"/>
      <c r="I562" s="100"/>
      <c r="K562" s="100"/>
      <c r="L562" s="100"/>
      <c r="M562" s="100"/>
      <c r="N562" s="54"/>
      <c r="Q562" s="107"/>
      <c r="R562" s="107"/>
    </row>
    <row r="563" spans="1:18" s="49" customFormat="1" ht="12.75" x14ac:dyDescent="0.2">
      <c r="A563" s="53"/>
      <c r="D563" s="54"/>
      <c r="E563" s="55"/>
      <c r="F563" s="56"/>
      <c r="H563" s="56"/>
      <c r="I563" s="100"/>
      <c r="K563" s="100"/>
      <c r="L563" s="100"/>
      <c r="M563" s="100"/>
      <c r="N563" s="54"/>
      <c r="Q563" s="107"/>
      <c r="R563" s="107"/>
    </row>
    <row r="564" spans="1:18" s="49" customFormat="1" ht="12.75" x14ac:dyDescent="0.2">
      <c r="A564" s="53"/>
      <c r="D564" s="54"/>
      <c r="E564" s="55"/>
      <c r="F564" s="56"/>
      <c r="H564" s="56"/>
      <c r="I564" s="100"/>
      <c r="K564" s="100"/>
      <c r="L564" s="100"/>
      <c r="M564" s="100"/>
      <c r="N564" s="54"/>
      <c r="Q564" s="107"/>
      <c r="R564" s="107"/>
    </row>
    <row r="565" spans="1:18" s="49" customFormat="1" ht="12.75" x14ac:dyDescent="0.2">
      <c r="A565" s="53"/>
      <c r="D565" s="54"/>
      <c r="E565" s="55"/>
      <c r="F565" s="56"/>
      <c r="H565" s="56"/>
      <c r="I565" s="100"/>
      <c r="K565" s="100"/>
      <c r="L565" s="100"/>
      <c r="M565" s="100"/>
      <c r="N565" s="54"/>
      <c r="Q565" s="107"/>
      <c r="R565" s="107"/>
    </row>
    <row r="566" spans="1:18" s="49" customFormat="1" ht="12.75" x14ac:dyDescent="0.2">
      <c r="A566" s="53"/>
      <c r="D566" s="54"/>
      <c r="E566" s="55"/>
      <c r="F566" s="56"/>
      <c r="H566" s="56"/>
      <c r="I566" s="100"/>
      <c r="K566" s="100"/>
      <c r="L566" s="100"/>
      <c r="M566" s="100"/>
      <c r="N566" s="54"/>
      <c r="Q566" s="107"/>
      <c r="R566" s="107"/>
    </row>
    <row r="567" spans="1:18" s="49" customFormat="1" ht="12.75" x14ac:dyDescent="0.2">
      <c r="A567" s="53"/>
      <c r="D567" s="54"/>
      <c r="E567" s="55"/>
      <c r="F567" s="56"/>
      <c r="H567" s="56"/>
      <c r="I567" s="100"/>
      <c r="K567" s="100"/>
      <c r="L567" s="100"/>
      <c r="M567" s="100"/>
      <c r="N567" s="54"/>
      <c r="Q567" s="107"/>
      <c r="R567" s="107"/>
    </row>
    <row r="568" spans="1:18" s="49" customFormat="1" ht="12.75" x14ac:dyDescent="0.2">
      <c r="A568" s="53"/>
      <c r="D568" s="54"/>
      <c r="E568" s="55"/>
      <c r="F568" s="56"/>
      <c r="H568" s="56"/>
      <c r="I568" s="100"/>
      <c r="K568" s="100"/>
      <c r="L568" s="100"/>
      <c r="M568" s="100"/>
      <c r="N568" s="54"/>
      <c r="Q568" s="107"/>
      <c r="R568" s="107"/>
    </row>
    <row r="569" spans="1:18" s="49" customFormat="1" ht="12.75" x14ac:dyDescent="0.2">
      <c r="A569" s="53"/>
      <c r="D569" s="54"/>
      <c r="E569" s="55"/>
      <c r="F569" s="56"/>
      <c r="H569" s="56"/>
      <c r="I569" s="100"/>
      <c r="K569" s="100"/>
      <c r="L569" s="100"/>
      <c r="M569" s="100"/>
      <c r="N569" s="54"/>
      <c r="Q569" s="107"/>
      <c r="R569" s="107"/>
    </row>
    <row r="570" spans="1:18" s="49" customFormat="1" ht="12.75" x14ac:dyDescent="0.2">
      <c r="A570" s="53"/>
      <c r="D570" s="54"/>
      <c r="E570" s="55"/>
      <c r="F570" s="56"/>
      <c r="H570" s="56"/>
      <c r="I570" s="100"/>
      <c r="K570" s="100"/>
      <c r="L570" s="100"/>
      <c r="M570" s="100"/>
      <c r="N570" s="54"/>
      <c r="Q570" s="107"/>
      <c r="R570" s="107"/>
    </row>
    <row r="571" spans="1:18" s="49" customFormat="1" ht="12.75" x14ac:dyDescent="0.2">
      <c r="A571" s="53"/>
      <c r="D571" s="54"/>
      <c r="E571" s="55"/>
      <c r="F571" s="56"/>
      <c r="H571" s="56"/>
      <c r="I571" s="100"/>
      <c r="K571" s="100"/>
      <c r="L571" s="100"/>
      <c r="M571" s="100"/>
      <c r="N571" s="54"/>
      <c r="Q571" s="107"/>
      <c r="R571" s="107"/>
    </row>
    <row r="572" spans="1:18" s="49" customFormat="1" ht="12.75" x14ac:dyDescent="0.2">
      <c r="A572" s="53"/>
      <c r="D572" s="54"/>
      <c r="E572" s="55"/>
      <c r="F572" s="56"/>
      <c r="H572" s="56"/>
      <c r="I572" s="100"/>
      <c r="K572" s="100"/>
      <c r="L572" s="100"/>
      <c r="M572" s="100"/>
      <c r="N572" s="54"/>
      <c r="Q572" s="107"/>
      <c r="R572" s="107"/>
    </row>
    <row r="573" spans="1:18" s="49" customFormat="1" ht="12.75" x14ac:dyDescent="0.2">
      <c r="A573" s="53"/>
      <c r="D573" s="54"/>
      <c r="E573" s="55"/>
      <c r="F573" s="56"/>
      <c r="H573" s="56"/>
      <c r="I573" s="100"/>
      <c r="K573" s="100"/>
      <c r="L573" s="100"/>
      <c r="M573" s="100"/>
      <c r="N573" s="54"/>
      <c r="Q573" s="107"/>
      <c r="R573" s="107"/>
    </row>
    <row r="574" spans="1:18" s="49" customFormat="1" ht="12.75" x14ac:dyDescent="0.2">
      <c r="A574" s="53"/>
      <c r="D574" s="54"/>
      <c r="E574" s="55"/>
      <c r="F574" s="56"/>
      <c r="H574" s="56"/>
      <c r="I574" s="100"/>
      <c r="K574" s="100"/>
      <c r="L574" s="100"/>
      <c r="M574" s="100"/>
      <c r="N574" s="54"/>
      <c r="Q574" s="107"/>
      <c r="R574" s="107"/>
    </row>
    <row r="575" spans="1:18" s="49" customFormat="1" ht="12.75" x14ac:dyDescent="0.2">
      <c r="A575" s="53"/>
      <c r="D575" s="54"/>
      <c r="E575" s="55"/>
      <c r="F575" s="56"/>
      <c r="H575" s="56"/>
      <c r="I575" s="100"/>
      <c r="K575" s="100"/>
      <c r="L575" s="100"/>
      <c r="M575" s="100"/>
      <c r="N575" s="54"/>
      <c r="Q575" s="107"/>
      <c r="R575" s="107"/>
    </row>
    <row r="576" spans="1:18" s="49" customFormat="1" ht="12.75" x14ac:dyDescent="0.2">
      <c r="A576" s="53"/>
      <c r="D576" s="54"/>
      <c r="E576" s="55"/>
      <c r="F576" s="56"/>
      <c r="H576" s="56"/>
      <c r="I576" s="100"/>
      <c r="K576" s="100"/>
      <c r="L576" s="100"/>
      <c r="M576" s="100"/>
      <c r="N576" s="54"/>
      <c r="Q576" s="107"/>
      <c r="R576" s="107"/>
    </row>
    <row r="577" spans="1:18" s="49" customFormat="1" ht="12.75" x14ac:dyDescent="0.2">
      <c r="A577" s="53"/>
      <c r="D577" s="54"/>
      <c r="E577" s="55"/>
      <c r="F577" s="56"/>
      <c r="H577" s="56"/>
      <c r="I577" s="100"/>
      <c r="K577" s="100"/>
      <c r="L577" s="100"/>
      <c r="M577" s="100"/>
      <c r="N577" s="54"/>
      <c r="Q577" s="107"/>
      <c r="R577" s="107"/>
    </row>
    <row r="578" spans="1:18" s="49" customFormat="1" ht="12.75" x14ac:dyDescent="0.2">
      <c r="A578" s="53"/>
      <c r="D578" s="54"/>
      <c r="E578" s="55"/>
      <c r="F578" s="56"/>
      <c r="H578" s="56"/>
      <c r="I578" s="100"/>
      <c r="K578" s="100"/>
      <c r="L578" s="100"/>
      <c r="M578" s="100"/>
      <c r="N578" s="54"/>
      <c r="Q578" s="107"/>
      <c r="R578" s="107"/>
    </row>
    <row r="579" spans="1:18" s="49" customFormat="1" ht="12.75" x14ac:dyDescent="0.2">
      <c r="A579" s="53"/>
      <c r="D579" s="54"/>
      <c r="E579" s="55"/>
      <c r="F579" s="56"/>
      <c r="H579" s="56"/>
      <c r="I579" s="100"/>
      <c r="K579" s="100"/>
      <c r="L579" s="100"/>
      <c r="M579" s="100"/>
      <c r="N579" s="54"/>
      <c r="Q579" s="107"/>
      <c r="R579" s="107"/>
    </row>
    <row r="580" spans="1:18" s="49" customFormat="1" ht="12.75" x14ac:dyDescent="0.2">
      <c r="A580" s="53"/>
      <c r="D580" s="54"/>
      <c r="E580" s="55"/>
      <c r="F580" s="56"/>
      <c r="H580" s="56"/>
      <c r="I580" s="100"/>
      <c r="K580" s="100"/>
      <c r="L580" s="100"/>
      <c r="M580" s="100"/>
      <c r="N580" s="54"/>
      <c r="Q580" s="107"/>
      <c r="R580" s="107"/>
    </row>
    <row r="581" spans="1:18" s="49" customFormat="1" ht="12.75" x14ac:dyDescent="0.2">
      <c r="A581" s="53"/>
      <c r="D581" s="54"/>
      <c r="E581" s="55"/>
      <c r="F581" s="56"/>
      <c r="H581" s="56"/>
      <c r="I581" s="100"/>
      <c r="K581" s="100"/>
      <c r="L581" s="100"/>
      <c r="M581" s="100"/>
      <c r="N581" s="54"/>
      <c r="Q581" s="107"/>
      <c r="R581" s="107"/>
    </row>
    <row r="582" spans="1:18" s="49" customFormat="1" ht="12.75" x14ac:dyDescent="0.2">
      <c r="A582" s="53"/>
      <c r="D582" s="54"/>
      <c r="E582" s="55"/>
      <c r="F582" s="56"/>
      <c r="H582" s="56"/>
      <c r="I582" s="100"/>
      <c r="K582" s="100"/>
      <c r="L582" s="100"/>
      <c r="M582" s="100"/>
      <c r="N582" s="54"/>
      <c r="Q582" s="107"/>
      <c r="R582" s="107"/>
    </row>
    <row r="583" spans="1:18" s="49" customFormat="1" ht="12.75" x14ac:dyDescent="0.2">
      <c r="A583" s="53"/>
      <c r="D583" s="54"/>
      <c r="E583" s="55"/>
      <c r="F583" s="56"/>
      <c r="H583" s="56"/>
      <c r="I583" s="100"/>
      <c r="K583" s="100"/>
      <c r="L583" s="100"/>
      <c r="M583" s="100"/>
      <c r="N583" s="54"/>
      <c r="Q583" s="107"/>
      <c r="R583" s="107"/>
    </row>
    <row r="584" spans="1:18" s="49" customFormat="1" ht="12.75" x14ac:dyDescent="0.2">
      <c r="A584" s="53"/>
      <c r="D584" s="54"/>
      <c r="E584" s="55"/>
      <c r="F584" s="56"/>
      <c r="H584" s="56"/>
      <c r="I584" s="100"/>
      <c r="K584" s="100"/>
      <c r="L584" s="100"/>
      <c r="M584" s="100"/>
      <c r="N584" s="54"/>
      <c r="Q584" s="107"/>
      <c r="R584" s="107"/>
    </row>
    <row r="585" spans="1:18" s="49" customFormat="1" ht="12.75" x14ac:dyDescent="0.2">
      <c r="A585" s="53"/>
      <c r="D585" s="54"/>
      <c r="E585" s="55"/>
      <c r="F585" s="56"/>
      <c r="H585" s="56"/>
      <c r="I585" s="100"/>
      <c r="K585" s="100"/>
      <c r="L585" s="100"/>
      <c r="M585" s="100"/>
      <c r="N585" s="54"/>
      <c r="Q585" s="107"/>
      <c r="R585" s="107"/>
    </row>
    <row r="586" spans="1:18" s="49" customFormat="1" ht="12.75" x14ac:dyDescent="0.2">
      <c r="A586" s="53"/>
      <c r="D586" s="54"/>
      <c r="E586" s="55"/>
      <c r="F586" s="56"/>
      <c r="H586" s="56"/>
      <c r="I586" s="100"/>
      <c r="K586" s="100"/>
      <c r="L586" s="100"/>
      <c r="M586" s="100"/>
      <c r="N586" s="54"/>
      <c r="Q586" s="107"/>
      <c r="R586" s="107"/>
    </row>
    <row r="587" spans="1:18" s="49" customFormat="1" ht="12.75" x14ac:dyDescent="0.2">
      <c r="A587" s="53"/>
      <c r="D587" s="54"/>
      <c r="E587" s="55"/>
      <c r="F587" s="56"/>
      <c r="H587" s="56"/>
      <c r="I587" s="100"/>
      <c r="K587" s="100"/>
      <c r="L587" s="100"/>
      <c r="M587" s="100"/>
      <c r="N587" s="54"/>
      <c r="Q587" s="107"/>
      <c r="R587" s="107"/>
    </row>
    <row r="588" spans="1:18" s="49" customFormat="1" ht="12.75" x14ac:dyDescent="0.2">
      <c r="A588" s="53"/>
      <c r="D588" s="54"/>
      <c r="E588" s="55"/>
      <c r="F588" s="56"/>
      <c r="H588" s="56"/>
      <c r="I588" s="100"/>
      <c r="K588" s="100"/>
      <c r="L588" s="100"/>
      <c r="M588" s="100"/>
      <c r="N588" s="54"/>
      <c r="Q588" s="107"/>
      <c r="R588" s="107"/>
    </row>
    <row r="589" spans="1:18" s="49" customFormat="1" ht="12.75" x14ac:dyDescent="0.2">
      <c r="A589" s="53"/>
      <c r="D589" s="54"/>
      <c r="E589" s="55"/>
      <c r="F589" s="56"/>
      <c r="H589" s="56"/>
      <c r="I589" s="100"/>
      <c r="K589" s="100"/>
      <c r="L589" s="100"/>
      <c r="M589" s="100"/>
      <c r="N589" s="54"/>
      <c r="Q589" s="107"/>
      <c r="R589" s="107"/>
    </row>
    <row r="590" spans="1:18" s="49" customFormat="1" ht="12.75" x14ac:dyDescent="0.2">
      <c r="A590" s="53"/>
      <c r="D590" s="54"/>
      <c r="E590" s="55"/>
      <c r="F590" s="56"/>
      <c r="H590" s="56"/>
      <c r="I590" s="100"/>
      <c r="K590" s="100"/>
      <c r="L590" s="100"/>
      <c r="M590" s="100"/>
      <c r="N590" s="54"/>
      <c r="Q590" s="107"/>
      <c r="R590" s="107"/>
    </row>
    <row r="591" spans="1:18" s="49" customFormat="1" ht="12.75" x14ac:dyDescent="0.2">
      <c r="A591" s="53"/>
      <c r="D591" s="54"/>
      <c r="E591" s="55"/>
      <c r="F591" s="56"/>
      <c r="H591" s="56"/>
      <c r="I591" s="100"/>
      <c r="K591" s="100"/>
      <c r="L591" s="100"/>
      <c r="M591" s="100"/>
      <c r="N591" s="54"/>
      <c r="Q591" s="107"/>
      <c r="R591" s="107"/>
    </row>
    <row r="592" spans="1:18" s="49" customFormat="1" ht="12.75" x14ac:dyDescent="0.2">
      <c r="A592" s="53"/>
      <c r="D592" s="54"/>
      <c r="E592" s="55"/>
      <c r="F592" s="56"/>
      <c r="H592" s="56"/>
      <c r="I592" s="100"/>
      <c r="K592" s="100"/>
      <c r="L592" s="100"/>
      <c r="M592" s="100"/>
      <c r="N592" s="54"/>
      <c r="Q592" s="107"/>
      <c r="R592" s="107"/>
    </row>
    <row r="593" spans="1:18" s="49" customFormat="1" ht="12.75" x14ac:dyDescent="0.2">
      <c r="A593" s="53"/>
      <c r="D593" s="54"/>
      <c r="E593" s="55"/>
      <c r="F593" s="56"/>
      <c r="H593" s="56"/>
      <c r="I593" s="100"/>
      <c r="K593" s="100"/>
      <c r="L593" s="100"/>
      <c r="M593" s="100"/>
      <c r="N593" s="54"/>
      <c r="Q593" s="107"/>
      <c r="R593" s="107"/>
    </row>
    <row r="594" spans="1:18" s="49" customFormat="1" ht="12.75" x14ac:dyDescent="0.2">
      <c r="A594" s="53"/>
      <c r="D594" s="54"/>
      <c r="E594" s="55"/>
      <c r="F594" s="56"/>
      <c r="H594" s="56"/>
      <c r="I594" s="100"/>
      <c r="K594" s="100"/>
      <c r="L594" s="100"/>
      <c r="M594" s="100"/>
      <c r="N594" s="54"/>
      <c r="Q594" s="107"/>
      <c r="R594" s="107"/>
    </row>
    <row r="595" spans="1:18" s="49" customFormat="1" ht="12.75" x14ac:dyDescent="0.2">
      <c r="A595" s="53"/>
      <c r="D595" s="54"/>
      <c r="E595" s="55"/>
      <c r="F595" s="56"/>
      <c r="H595" s="56"/>
      <c r="I595" s="100"/>
      <c r="K595" s="100"/>
      <c r="L595" s="100"/>
      <c r="M595" s="100"/>
      <c r="N595" s="54"/>
      <c r="Q595" s="107"/>
      <c r="R595" s="107"/>
    </row>
    <row r="596" spans="1:18" s="49" customFormat="1" ht="12.75" x14ac:dyDescent="0.2">
      <c r="A596" s="53"/>
      <c r="D596" s="54"/>
      <c r="E596" s="55"/>
      <c r="F596" s="56"/>
      <c r="H596" s="56"/>
      <c r="I596" s="100"/>
      <c r="K596" s="100"/>
      <c r="L596" s="100"/>
      <c r="M596" s="100"/>
      <c r="N596" s="54"/>
      <c r="Q596" s="107"/>
      <c r="R596" s="107"/>
    </row>
    <row r="597" spans="1:18" s="49" customFormat="1" ht="12.75" x14ac:dyDescent="0.2">
      <c r="A597" s="53"/>
      <c r="D597" s="54"/>
      <c r="E597" s="55"/>
      <c r="F597" s="56"/>
      <c r="H597" s="56"/>
      <c r="I597" s="100"/>
      <c r="K597" s="100"/>
      <c r="L597" s="100"/>
      <c r="M597" s="100"/>
      <c r="N597" s="54"/>
      <c r="Q597" s="107"/>
      <c r="R597" s="107"/>
    </row>
    <row r="598" spans="1:18" s="49" customFormat="1" ht="12.75" x14ac:dyDescent="0.2">
      <c r="A598" s="53"/>
      <c r="D598" s="54"/>
      <c r="E598" s="55"/>
      <c r="F598" s="56"/>
      <c r="H598" s="56"/>
      <c r="I598" s="100"/>
      <c r="K598" s="100"/>
      <c r="L598" s="100"/>
      <c r="M598" s="100"/>
      <c r="N598" s="54"/>
      <c r="Q598" s="107"/>
      <c r="R598" s="107"/>
    </row>
    <row r="599" spans="1:18" s="49" customFormat="1" ht="12.75" x14ac:dyDescent="0.2">
      <c r="A599" s="53"/>
      <c r="D599" s="54"/>
      <c r="E599" s="55"/>
      <c r="F599" s="56"/>
      <c r="H599" s="56"/>
      <c r="I599" s="100"/>
      <c r="K599" s="100"/>
      <c r="L599" s="100"/>
      <c r="M599" s="100"/>
      <c r="N599" s="54"/>
      <c r="Q599" s="107"/>
      <c r="R599" s="107"/>
    </row>
    <row r="600" spans="1:18" s="49" customFormat="1" ht="12.75" x14ac:dyDescent="0.2">
      <c r="A600" s="53"/>
      <c r="D600" s="54"/>
      <c r="E600" s="55"/>
      <c r="F600" s="56"/>
      <c r="H600" s="56"/>
      <c r="I600" s="100"/>
      <c r="K600" s="100"/>
      <c r="L600" s="100"/>
      <c r="M600" s="100"/>
      <c r="N600" s="54"/>
      <c r="Q600" s="107"/>
      <c r="R600" s="107"/>
    </row>
    <row r="601" spans="1:18" s="49" customFormat="1" ht="12.75" x14ac:dyDescent="0.2">
      <c r="A601" s="53"/>
      <c r="D601" s="54"/>
      <c r="E601" s="55"/>
      <c r="F601" s="56"/>
      <c r="H601" s="56"/>
      <c r="I601" s="100"/>
      <c r="K601" s="100"/>
      <c r="L601" s="100"/>
      <c r="M601" s="100"/>
      <c r="N601" s="54"/>
      <c r="Q601" s="107"/>
      <c r="R601" s="107"/>
    </row>
    <row r="602" spans="1:18" s="49" customFormat="1" ht="12.75" x14ac:dyDescent="0.2">
      <c r="A602" s="53"/>
      <c r="D602" s="54"/>
      <c r="E602" s="55"/>
      <c r="F602" s="56"/>
      <c r="H602" s="56"/>
      <c r="I602" s="100"/>
      <c r="K602" s="100"/>
      <c r="L602" s="100"/>
      <c r="M602" s="100"/>
      <c r="N602" s="54"/>
      <c r="Q602" s="107"/>
      <c r="R602" s="107"/>
    </row>
    <row r="603" spans="1:18" s="49" customFormat="1" ht="12.75" x14ac:dyDescent="0.2">
      <c r="A603" s="53"/>
      <c r="D603" s="54"/>
      <c r="E603" s="55"/>
      <c r="F603" s="56"/>
      <c r="H603" s="56"/>
      <c r="I603" s="100"/>
      <c r="K603" s="100"/>
      <c r="L603" s="100"/>
      <c r="M603" s="100"/>
      <c r="N603" s="54"/>
      <c r="Q603" s="107"/>
      <c r="R603" s="107"/>
    </row>
    <row r="604" spans="1:18" s="49" customFormat="1" ht="12.75" x14ac:dyDescent="0.2">
      <c r="A604" s="53"/>
      <c r="D604" s="54"/>
      <c r="E604" s="55"/>
      <c r="F604" s="56"/>
      <c r="H604" s="56"/>
      <c r="I604" s="100"/>
      <c r="K604" s="100"/>
      <c r="L604" s="100"/>
      <c r="M604" s="100"/>
      <c r="N604" s="54"/>
      <c r="Q604" s="107"/>
      <c r="R604" s="107"/>
    </row>
    <row r="605" spans="1:18" s="49" customFormat="1" ht="12.75" x14ac:dyDescent="0.2">
      <c r="A605" s="53"/>
      <c r="D605" s="54"/>
      <c r="E605" s="55"/>
      <c r="F605" s="56"/>
      <c r="H605" s="56"/>
      <c r="I605" s="100"/>
      <c r="K605" s="100"/>
      <c r="L605" s="100"/>
      <c r="M605" s="100"/>
      <c r="N605" s="54"/>
      <c r="Q605" s="107"/>
      <c r="R605" s="107"/>
    </row>
    <row r="606" spans="1:18" s="49" customFormat="1" ht="12.75" x14ac:dyDescent="0.2">
      <c r="A606" s="53"/>
      <c r="D606" s="54"/>
      <c r="E606" s="55"/>
      <c r="F606" s="56"/>
      <c r="H606" s="56"/>
      <c r="I606" s="100"/>
      <c r="K606" s="100"/>
      <c r="L606" s="100"/>
      <c r="M606" s="100"/>
      <c r="N606" s="54"/>
      <c r="Q606" s="107"/>
      <c r="R606" s="107"/>
    </row>
    <row r="607" spans="1:18" s="49" customFormat="1" ht="12.75" x14ac:dyDescent="0.2">
      <c r="A607" s="53"/>
      <c r="D607" s="54"/>
      <c r="E607" s="55"/>
      <c r="F607" s="56"/>
      <c r="H607" s="56"/>
      <c r="I607" s="100"/>
      <c r="K607" s="100"/>
      <c r="L607" s="100"/>
      <c r="M607" s="100"/>
      <c r="N607" s="54"/>
      <c r="Q607" s="107"/>
      <c r="R607" s="107"/>
    </row>
    <row r="608" spans="1:18" s="49" customFormat="1" ht="12.75" x14ac:dyDescent="0.2">
      <c r="A608" s="53"/>
      <c r="D608" s="54"/>
      <c r="E608" s="55"/>
      <c r="F608" s="56"/>
      <c r="H608" s="56"/>
      <c r="I608" s="100"/>
      <c r="K608" s="100"/>
      <c r="L608" s="100"/>
      <c r="M608" s="100"/>
      <c r="N608" s="54"/>
      <c r="Q608" s="107"/>
      <c r="R608" s="107"/>
    </row>
    <row r="609" spans="1:18" s="49" customFormat="1" ht="12.75" x14ac:dyDescent="0.2">
      <c r="A609" s="53"/>
      <c r="D609" s="54"/>
      <c r="E609" s="55"/>
      <c r="F609" s="56"/>
      <c r="H609" s="56"/>
      <c r="I609" s="100"/>
      <c r="K609" s="100"/>
      <c r="L609" s="100"/>
      <c r="M609" s="100"/>
      <c r="N609" s="54"/>
      <c r="Q609" s="107"/>
      <c r="R609" s="107"/>
    </row>
    <row r="610" spans="1:18" s="49" customFormat="1" ht="12.75" x14ac:dyDescent="0.2">
      <c r="A610" s="53"/>
      <c r="D610" s="54"/>
      <c r="E610" s="55"/>
      <c r="F610" s="56"/>
      <c r="H610" s="56"/>
      <c r="I610" s="100"/>
      <c r="K610" s="100"/>
      <c r="L610" s="100"/>
      <c r="M610" s="100"/>
      <c r="N610" s="54"/>
      <c r="Q610" s="107"/>
      <c r="R610" s="107"/>
    </row>
    <row r="611" spans="1:18" s="49" customFormat="1" ht="12.75" x14ac:dyDescent="0.2">
      <c r="A611" s="53"/>
      <c r="D611" s="54"/>
      <c r="E611" s="55"/>
      <c r="F611" s="56"/>
      <c r="H611" s="56"/>
      <c r="I611" s="100"/>
      <c r="K611" s="100"/>
      <c r="L611" s="100"/>
      <c r="M611" s="100"/>
      <c r="N611" s="54"/>
      <c r="Q611" s="107"/>
      <c r="R611" s="107"/>
    </row>
    <row r="612" spans="1:18" s="49" customFormat="1" ht="12.75" x14ac:dyDescent="0.2">
      <c r="A612" s="53"/>
      <c r="D612" s="54"/>
      <c r="E612" s="55"/>
      <c r="F612" s="56"/>
      <c r="H612" s="56"/>
      <c r="I612" s="100"/>
      <c r="K612" s="100"/>
      <c r="L612" s="100"/>
      <c r="M612" s="100"/>
      <c r="N612" s="54"/>
      <c r="Q612" s="107"/>
      <c r="R612" s="107"/>
    </row>
    <row r="613" spans="1:18" s="49" customFormat="1" ht="12.75" x14ac:dyDescent="0.2">
      <c r="A613" s="53"/>
      <c r="D613" s="54"/>
      <c r="E613" s="55"/>
      <c r="F613" s="56"/>
      <c r="H613" s="56"/>
      <c r="I613" s="100"/>
      <c r="K613" s="100"/>
      <c r="L613" s="100"/>
      <c r="M613" s="100"/>
      <c r="N613" s="54"/>
      <c r="Q613" s="107"/>
      <c r="R613" s="107"/>
    </row>
    <row r="614" spans="1:18" s="49" customFormat="1" ht="12.75" x14ac:dyDescent="0.2">
      <c r="A614" s="53"/>
      <c r="D614" s="54"/>
      <c r="E614" s="55"/>
      <c r="F614" s="56"/>
      <c r="H614" s="56"/>
      <c r="I614" s="100"/>
      <c r="K614" s="100"/>
      <c r="L614" s="100"/>
      <c r="M614" s="100"/>
      <c r="N614" s="54"/>
      <c r="Q614" s="107"/>
      <c r="R614" s="107"/>
    </row>
    <row r="615" spans="1:18" s="49" customFormat="1" ht="12.75" x14ac:dyDescent="0.2">
      <c r="A615" s="53"/>
      <c r="D615" s="54"/>
      <c r="E615" s="55"/>
      <c r="F615" s="56"/>
      <c r="H615" s="56"/>
      <c r="I615" s="100"/>
      <c r="K615" s="100"/>
      <c r="L615" s="100"/>
      <c r="M615" s="100"/>
      <c r="N615" s="54"/>
      <c r="Q615" s="107"/>
      <c r="R615" s="107"/>
    </row>
    <row r="616" spans="1:18" s="49" customFormat="1" ht="12.75" x14ac:dyDescent="0.2">
      <c r="A616" s="53"/>
      <c r="D616" s="54"/>
      <c r="E616" s="55"/>
      <c r="F616" s="56"/>
      <c r="H616" s="56"/>
      <c r="I616" s="100"/>
      <c r="K616" s="100"/>
      <c r="L616" s="100"/>
      <c r="M616" s="100"/>
      <c r="N616" s="54"/>
      <c r="Q616" s="107"/>
      <c r="R616" s="107"/>
    </row>
    <row r="617" spans="1:18" s="49" customFormat="1" ht="12.75" x14ac:dyDescent="0.2">
      <c r="A617" s="53"/>
      <c r="D617" s="54"/>
      <c r="E617" s="55"/>
      <c r="F617" s="56"/>
      <c r="H617" s="56"/>
      <c r="I617" s="100"/>
      <c r="K617" s="100"/>
      <c r="L617" s="100"/>
      <c r="M617" s="100"/>
      <c r="N617" s="54"/>
      <c r="Q617" s="107"/>
      <c r="R617" s="107"/>
    </row>
    <row r="618" spans="1:18" s="49" customFormat="1" ht="12.75" x14ac:dyDescent="0.2">
      <c r="A618" s="53"/>
      <c r="D618" s="54"/>
      <c r="E618" s="55"/>
      <c r="F618" s="56"/>
      <c r="H618" s="56"/>
      <c r="I618" s="100"/>
      <c r="K618" s="100"/>
      <c r="L618" s="100"/>
      <c r="M618" s="100"/>
      <c r="N618" s="54"/>
      <c r="Q618" s="107"/>
      <c r="R618" s="107"/>
    </row>
    <row r="619" spans="1:18" s="49" customFormat="1" ht="12.75" x14ac:dyDescent="0.2">
      <c r="A619" s="53"/>
      <c r="D619" s="54"/>
      <c r="E619" s="55"/>
      <c r="F619" s="56"/>
      <c r="H619" s="56"/>
      <c r="I619" s="100"/>
      <c r="K619" s="100"/>
      <c r="L619" s="100"/>
      <c r="M619" s="100"/>
      <c r="N619" s="54"/>
      <c r="Q619" s="107"/>
      <c r="R619" s="107"/>
    </row>
    <row r="620" spans="1:18" s="49" customFormat="1" ht="12.75" x14ac:dyDescent="0.2">
      <c r="A620" s="53"/>
      <c r="D620" s="54"/>
      <c r="E620" s="55"/>
      <c r="F620" s="56"/>
      <c r="H620" s="56"/>
      <c r="I620" s="100"/>
      <c r="K620" s="100"/>
      <c r="L620" s="100"/>
      <c r="M620" s="100"/>
      <c r="N620" s="54"/>
      <c r="Q620" s="107"/>
      <c r="R620" s="107"/>
    </row>
    <row r="621" spans="1:18" s="49" customFormat="1" ht="12.75" x14ac:dyDescent="0.2">
      <c r="A621" s="53"/>
      <c r="D621" s="54"/>
      <c r="E621" s="55"/>
      <c r="F621" s="56"/>
      <c r="H621" s="56"/>
      <c r="I621" s="100"/>
      <c r="K621" s="100"/>
      <c r="L621" s="100"/>
      <c r="M621" s="100"/>
      <c r="N621" s="54"/>
      <c r="Q621" s="107"/>
      <c r="R621" s="107"/>
    </row>
    <row r="622" spans="1:18" s="49" customFormat="1" ht="12.75" x14ac:dyDescent="0.2">
      <c r="A622" s="53"/>
      <c r="D622" s="54"/>
      <c r="E622" s="55"/>
      <c r="F622" s="56"/>
      <c r="H622" s="56"/>
      <c r="I622" s="100"/>
      <c r="K622" s="100"/>
      <c r="L622" s="100"/>
      <c r="M622" s="100"/>
      <c r="N622" s="54"/>
      <c r="Q622" s="107"/>
      <c r="R622" s="107"/>
    </row>
    <row r="623" spans="1:18" s="49" customFormat="1" ht="12.75" x14ac:dyDescent="0.2">
      <c r="A623" s="53"/>
      <c r="D623" s="54"/>
      <c r="E623" s="55"/>
      <c r="F623" s="56"/>
      <c r="H623" s="56"/>
      <c r="I623" s="100"/>
      <c r="K623" s="100"/>
      <c r="L623" s="100"/>
      <c r="M623" s="100"/>
      <c r="N623" s="54"/>
      <c r="Q623" s="107"/>
      <c r="R623" s="107"/>
    </row>
    <row r="624" spans="1:18" s="49" customFormat="1" ht="12.75" x14ac:dyDescent="0.2">
      <c r="A624" s="53"/>
      <c r="D624" s="54"/>
      <c r="E624" s="55"/>
      <c r="F624" s="56"/>
      <c r="H624" s="56"/>
      <c r="I624" s="100"/>
      <c r="K624" s="100"/>
      <c r="L624" s="100"/>
      <c r="M624" s="100"/>
      <c r="N624" s="54"/>
      <c r="Q624" s="107"/>
      <c r="R624" s="107"/>
    </row>
    <row r="625" spans="1:18" s="49" customFormat="1" ht="12.75" x14ac:dyDescent="0.2">
      <c r="A625" s="53"/>
      <c r="D625" s="54"/>
      <c r="E625" s="55"/>
      <c r="F625" s="56"/>
      <c r="H625" s="56"/>
      <c r="I625" s="100"/>
      <c r="K625" s="100"/>
      <c r="L625" s="100"/>
      <c r="M625" s="100"/>
      <c r="N625" s="54"/>
      <c r="Q625" s="107"/>
      <c r="R625" s="107"/>
    </row>
    <row r="626" spans="1:18" s="49" customFormat="1" ht="12.75" x14ac:dyDescent="0.2">
      <c r="A626" s="53"/>
      <c r="D626" s="54"/>
      <c r="E626" s="55"/>
      <c r="F626" s="56"/>
      <c r="H626" s="56"/>
      <c r="I626" s="100"/>
      <c r="K626" s="100"/>
      <c r="L626" s="100"/>
      <c r="M626" s="100"/>
      <c r="N626" s="54"/>
      <c r="Q626" s="107"/>
      <c r="R626" s="107"/>
    </row>
    <row r="627" spans="1:18" s="49" customFormat="1" ht="12.75" x14ac:dyDescent="0.2">
      <c r="A627" s="53"/>
      <c r="D627" s="54"/>
      <c r="E627" s="55"/>
      <c r="F627" s="56"/>
      <c r="H627" s="56"/>
      <c r="I627" s="100"/>
      <c r="K627" s="100"/>
      <c r="L627" s="100"/>
      <c r="M627" s="100"/>
      <c r="N627" s="54"/>
      <c r="Q627" s="107"/>
      <c r="R627" s="107"/>
    </row>
    <row r="628" spans="1:18" s="49" customFormat="1" ht="12.75" x14ac:dyDescent="0.2">
      <c r="A628" s="53"/>
      <c r="D628" s="54"/>
      <c r="E628" s="55"/>
      <c r="F628" s="56"/>
      <c r="H628" s="56"/>
      <c r="I628" s="100"/>
      <c r="K628" s="100"/>
      <c r="L628" s="100"/>
      <c r="M628" s="100"/>
      <c r="N628" s="54"/>
      <c r="Q628" s="107"/>
      <c r="R628" s="107"/>
    </row>
    <row r="629" spans="1:18" s="49" customFormat="1" ht="12.75" x14ac:dyDescent="0.2">
      <c r="A629" s="53"/>
      <c r="D629" s="54"/>
      <c r="E629" s="55"/>
      <c r="F629" s="56"/>
      <c r="H629" s="56"/>
      <c r="I629" s="100"/>
      <c r="K629" s="100"/>
      <c r="L629" s="100"/>
      <c r="M629" s="100"/>
      <c r="N629" s="54"/>
      <c r="Q629" s="107"/>
      <c r="R629" s="107"/>
    </row>
    <row r="630" spans="1:18" s="49" customFormat="1" ht="12.75" x14ac:dyDescent="0.2">
      <c r="A630" s="53"/>
      <c r="D630" s="54"/>
      <c r="E630" s="55"/>
      <c r="F630" s="56"/>
      <c r="H630" s="56"/>
      <c r="I630" s="100"/>
      <c r="K630" s="100"/>
      <c r="L630" s="100"/>
      <c r="M630" s="100"/>
      <c r="N630" s="54"/>
      <c r="Q630" s="107"/>
      <c r="R630" s="107"/>
    </row>
    <row r="631" spans="1:18" s="49" customFormat="1" ht="12.75" x14ac:dyDescent="0.2">
      <c r="A631" s="53"/>
      <c r="D631" s="54"/>
      <c r="E631" s="55"/>
      <c r="F631" s="56"/>
      <c r="H631" s="56"/>
      <c r="I631" s="100"/>
      <c r="K631" s="100"/>
      <c r="L631" s="100"/>
      <c r="M631" s="100"/>
      <c r="N631" s="54"/>
      <c r="Q631" s="107"/>
      <c r="R631" s="107"/>
    </row>
    <row r="632" spans="1:18" s="49" customFormat="1" ht="12.75" x14ac:dyDescent="0.2">
      <c r="A632" s="53"/>
      <c r="D632" s="54"/>
      <c r="E632" s="55"/>
      <c r="F632" s="56"/>
      <c r="H632" s="56"/>
      <c r="I632" s="100"/>
      <c r="K632" s="100"/>
      <c r="L632" s="100"/>
      <c r="M632" s="100"/>
      <c r="N632" s="54"/>
      <c r="Q632" s="107"/>
      <c r="R632" s="107"/>
    </row>
    <row r="633" spans="1:18" s="49" customFormat="1" ht="12.75" x14ac:dyDescent="0.2">
      <c r="A633" s="53"/>
      <c r="D633" s="54"/>
      <c r="E633" s="55"/>
      <c r="F633" s="56"/>
      <c r="H633" s="56"/>
      <c r="I633" s="100"/>
      <c r="K633" s="100"/>
      <c r="L633" s="100"/>
      <c r="M633" s="100"/>
      <c r="N633" s="54"/>
      <c r="Q633" s="107"/>
      <c r="R633" s="107"/>
    </row>
    <row r="634" spans="1:18" s="49" customFormat="1" ht="12.75" x14ac:dyDescent="0.2">
      <c r="A634" s="53"/>
      <c r="D634" s="54"/>
      <c r="E634" s="55"/>
      <c r="F634" s="56"/>
      <c r="H634" s="56"/>
      <c r="I634" s="100"/>
      <c r="K634" s="100"/>
      <c r="L634" s="100"/>
      <c r="M634" s="100"/>
      <c r="N634" s="54"/>
      <c r="Q634" s="107"/>
      <c r="R634" s="107"/>
    </row>
    <row r="635" spans="1:18" s="49" customFormat="1" ht="12.75" x14ac:dyDescent="0.2">
      <c r="A635" s="53"/>
      <c r="D635" s="54"/>
      <c r="E635" s="55"/>
      <c r="F635" s="56"/>
      <c r="H635" s="56"/>
      <c r="I635" s="100"/>
      <c r="K635" s="100"/>
      <c r="L635" s="100"/>
      <c r="M635" s="100"/>
      <c r="N635" s="54"/>
      <c r="Q635" s="107"/>
      <c r="R635" s="107"/>
    </row>
    <row r="636" spans="1:18" s="49" customFormat="1" ht="12.75" x14ac:dyDescent="0.2">
      <c r="A636" s="53"/>
      <c r="D636" s="54"/>
      <c r="E636" s="55"/>
      <c r="F636" s="56"/>
      <c r="H636" s="56"/>
      <c r="I636" s="100"/>
      <c r="K636" s="100"/>
      <c r="L636" s="100"/>
      <c r="M636" s="100"/>
      <c r="N636" s="54"/>
      <c r="Q636" s="107"/>
      <c r="R636" s="107"/>
    </row>
    <row r="637" spans="1:18" s="49" customFormat="1" ht="12.75" x14ac:dyDescent="0.2">
      <c r="A637" s="53"/>
      <c r="D637" s="54"/>
      <c r="E637" s="55"/>
      <c r="F637" s="56"/>
      <c r="H637" s="56"/>
      <c r="I637" s="100"/>
      <c r="K637" s="100"/>
      <c r="L637" s="100"/>
      <c r="M637" s="100"/>
      <c r="N637" s="54"/>
      <c r="Q637" s="107"/>
      <c r="R637" s="107"/>
    </row>
    <row r="638" spans="1:18" s="49" customFormat="1" ht="12.75" x14ac:dyDescent="0.2">
      <c r="A638" s="53"/>
      <c r="D638" s="54"/>
      <c r="E638" s="55"/>
      <c r="F638" s="56"/>
      <c r="H638" s="56"/>
      <c r="I638" s="100"/>
      <c r="K638" s="100"/>
      <c r="L638" s="100"/>
      <c r="M638" s="100"/>
      <c r="N638" s="54"/>
      <c r="Q638" s="107"/>
      <c r="R638" s="107"/>
    </row>
    <row r="639" spans="1:18" s="49" customFormat="1" ht="12.75" x14ac:dyDescent="0.2">
      <c r="A639" s="53"/>
      <c r="D639" s="54"/>
      <c r="E639" s="55"/>
      <c r="F639" s="56"/>
      <c r="H639" s="56"/>
      <c r="I639" s="100"/>
      <c r="K639" s="100"/>
      <c r="L639" s="100"/>
      <c r="M639" s="100"/>
      <c r="N639" s="54"/>
      <c r="Q639" s="107"/>
      <c r="R639" s="107"/>
    </row>
    <row r="640" spans="1:18" s="49" customFormat="1" ht="12.75" x14ac:dyDescent="0.2">
      <c r="A640" s="53"/>
      <c r="D640" s="54"/>
      <c r="E640" s="55"/>
      <c r="F640" s="56"/>
      <c r="H640" s="56"/>
      <c r="I640" s="100"/>
      <c r="K640" s="100"/>
      <c r="L640" s="100"/>
      <c r="M640" s="100"/>
      <c r="N640" s="54"/>
      <c r="Q640" s="107"/>
      <c r="R640" s="107"/>
    </row>
    <row r="641" spans="1:18" s="49" customFormat="1" ht="12.75" x14ac:dyDescent="0.2">
      <c r="A641" s="53"/>
      <c r="D641" s="54"/>
      <c r="E641" s="55"/>
      <c r="F641" s="56"/>
      <c r="H641" s="56"/>
      <c r="I641" s="100"/>
      <c r="K641" s="100"/>
      <c r="L641" s="100"/>
      <c r="M641" s="100"/>
      <c r="N641" s="54"/>
      <c r="Q641" s="107"/>
      <c r="R641" s="107"/>
    </row>
    <row r="642" spans="1:18" s="49" customFormat="1" ht="12.75" x14ac:dyDescent="0.2">
      <c r="A642" s="53"/>
      <c r="D642" s="54"/>
      <c r="E642" s="55"/>
      <c r="F642" s="56"/>
      <c r="H642" s="56"/>
      <c r="I642" s="100"/>
      <c r="K642" s="100"/>
      <c r="L642" s="100"/>
      <c r="M642" s="100"/>
      <c r="N642" s="54"/>
      <c r="Q642" s="107"/>
      <c r="R642" s="107"/>
    </row>
    <row r="643" spans="1:18" s="49" customFormat="1" ht="12.75" x14ac:dyDescent="0.2">
      <c r="A643" s="53"/>
      <c r="D643" s="54"/>
      <c r="E643" s="55"/>
      <c r="F643" s="56"/>
      <c r="H643" s="56"/>
      <c r="I643" s="100"/>
      <c r="K643" s="100"/>
      <c r="L643" s="100"/>
      <c r="M643" s="100"/>
      <c r="N643" s="54"/>
      <c r="Q643" s="107"/>
      <c r="R643" s="107"/>
    </row>
    <row r="644" spans="1:18" s="49" customFormat="1" ht="12.75" x14ac:dyDescent="0.2">
      <c r="A644" s="53"/>
      <c r="D644" s="54"/>
      <c r="E644" s="55"/>
      <c r="F644" s="56"/>
      <c r="H644" s="56"/>
      <c r="I644" s="100"/>
      <c r="K644" s="100"/>
      <c r="L644" s="100"/>
      <c r="M644" s="100"/>
      <c r="N644" s="54"/>
      <c r="Q644" s="107"/>
      <c r="R644" s="107"/>
    </row>
    <row r="645" spans="1:18" s="49" customFormat="1" ht="12.75" x14ac:dyDescent="0.2">
      <c r="A645" s="53"/>
      <c r="D645" s="54"/>
      <c r="E645" s="55"/>
      <c r="F645" s="56"/>
      <c r="H645" s="56"/>
      <c r="I645" s="100"/>
      <c r="K645" s="100"/>
      <c r="L645" s="100"/>
      <c r="M645" s="100"/>
      <c r="N645" s="54"/>
      <c r="Q645" s="107"/>
      <c r="R645" s="107"/>
    </row>
    <row r="646" spans="1:18" s="49" customFormat="1" ht="12.75" x14ac:dyDescent="0.2">
      <c r="A646" s="53"/>
      <c r="D646" s="54"/>
      <c r="E646" s="55"/>
      <c r="F646" s="56"/>
      <c r="H646" s="56"/>
      <c r="I646" s="100"/>
      <c r="K646" s="100"/>
      <c r="L646" s="100"/>
      <c r="M646" s="100"/>
      <c r="N646" s="54"/>
      <c r="Q646" s="107"/>
      <c r="R646" s="107"/>
    </row>
    <row r="647" spans="1:18" s="49" customFormat="1" ht="12.75" x14ac:dyDescent="0.2">
      <c r="A647" s="53"/>
      <c r="D647" s="54"/>
      <c r="E647" s="55"/>
      <c r="F647" s="56"/>
      <c r="H647" s="56"/>
      <c r="I647" s="100"/>
      <c r="K647" s="100"/>
      <c r="L647" s="100"/>
      <c r="M647" s="100"/>
      <c r="N647" s="54"/>
      <c r="Q647" s="107"/>
      <c r="R647" s="107"/>
    </row>
    <row r="648" spans="1:18" s="49" customFormat="1" ht="12.75" x14ac:dyDescent="0.2">
      <c r="A648" s="53"/>
      <c r="D648" s="54"/>
      <c r="E648" s="55"/>
      <c r="F648" s="56"/>
      <c r="H648" s="56"/>
      <c r="I648" s="100"/>
      <c r="K648" s="100"/>
      <c r="L648" s="100"/>
      <c r="M648" s="100"/>
      <c r="N648" s="54"/>
      <c r="Q648" s="107"/>
      <c r="R648" s="107"/>
    </row>
    <row r="649" spans="1:18" s="49" customFormat="1" ht="12.75" x14ac:dyDescent="0.2">
      <c r="A649" s="53"/>
      <c r="D649" s="54"/>
      <c r="E649" s="55"/>
      <c r="F649" s="56"/>
      <c r="H649" s="56"/>
      <c r="I649" s="100"/>
      <c r="K649" s="100"/>
      <c r="L649" s="100"/>
      <c r="M649" s="100"/>
      <c r="N649" s="54"/>
      <c r="Q649" s="107"/>
      <c r="R649" s="107"/>
    </row>
    <row r="650" spans="1:18" s="49" customFormat="1" ht="12.75" x14ac:dyDescent="0.2">
      <c r="A650" s="53"/>
      <c r="D650" s="54"/>
      <c r="E650" s="55"/>
      <c r="F650" s="56"/>
      <c r="H650" s="56"/>
      <c r="I650" s="100"/>
      <c r="K650" s="100"/>
      <c r="L650" s="100"/>
      <c r="M650" s="100"/>
      <c r="N650" s="54"/>
      <c r="Q650" s="107"/>
      <c r="R650" s="107"/>
    </row>
    <row r="651" spans="1:18" s="49" customFormat="1" ht="12.75" x14ac:dyDescent="0.2">
      <c r="A651" s="53"/>
      <c r="D651" s="54"/>
      <c r="E651" s="55"/>
      <c r="F651" s="56"/>
      <c r="H651" s="56"/>
      <c r="I651" s="100"/>
      <c r="K651" s="100"/>
      <c r="L651" s="100"/>
      <c r="M651" s="100"/>
      <c r="N651" s="54"/>
      <c r="Q651" s="107"/>
      <c r="R651" s="107"/>
    </row>
    <row r="652" spans="1:18" s="49" customFormat="1" ht="12.75" x14ac:dyDescent="0.2">
      <c r="A652" s="53"/>
      <c r="D652" s="54"/>
      <c r="E652" s="55"/>
      <c r="F652" s="56"/>
      <c r="H652" s="56"/>
      <c r="I652" s="100"/>
      <c r="K652" s="100"/>
      <c r="L652" s="100"/>
      <c r="M652" s="100"/>
      <c r="N652" s="54"/>
      <c r="Q652" s="107"/>
      <c r="R652" s="107"/>
    </row>
    <row r="653" spans="1:18" s="49" customFormat="1" ht="12.75" x14ac:dyDescent="0.2">
      <c r="A653" s="53"/>
      <c r="D653" s="54"/>
      <c r="E653" s="55"/>
      <c r="F653" s="56"/>
      <c r="H653" s="56"/>
      <c r="I653" s="100"/>
      <c r="K653" s="100"/>
      <c r="L653" s="100"/>
      <c r="M653" s="100"/>
      <c r="N653" s="54"/>
      <c r="Q653" s="107"/>
      <c r="R653" s="107"/>
    </row>
    <row r="654" spans="1:18" s="49" customFormat="1" ht="12.75" x14ac:dyDescent="0.2">
      <c r="A654" s="53"/>
      <c r="D654" s="54"/>
      <c r="E654" s="55"/>
      <c r="F654" s="56"/>
      <c r="H654" s="56"/>
      <c r="I654" s="100"/>
      <c r="K654" s="100"/>
      <c r="L654" s="100"/>
      <c r="M654" s="100"/>
      <c r="N654" s="54"/>
      <c r="Q654" s="107"/>
      <c r="R654" s="107"/>
    </row>
    <row r="655" spans="1:18" s="49" customFormat="1" ht="12.75" x14ac:dyDescent="0.2">
      <c r="A655" s="53"/>
      <c r="D655" s="54"/>
      <c r="E655" s="55"/>
      <c r="F655" s="56"/>
      <c r="H655" s="56"/>
      <c r="I655" s="100"/>
      <c r="K655" s="100"/>
      <c r="L655" s="100"/>
      <c r="M655" s="100"/>
      <c r="N655" s="54"/>
      <c r="Q655" s="107"/>
      <c r="R655" s="107"/>
    </row>
    <row r="656" spans="1:18" s="49" customFormat="1" ht="12.75" x14ac:dyDescent="0.2">
      <c r="A656" s="53"/>
      <c r="D656" s="54"/>
      <c r="E656" s="55"/>
      <c r="F656" s="56"/>
      <c r="H656" s="56"/>
      <c r="I656" s="100"/>
      <c r="K656" s="100"/>
      <c r="L656" s="100"/>
      <c r="M656" s="100"/>
      <c r="N656" s="54"/>
      <c r="Q656" s="107"/>
      <c r="R656" s="107"/>
    </row>
    <row r="657" spans="1:18" s="49" customFormat="1" ht="12.75" x14ac:dyDescent="0.2">
      <c r="A657" s="53"/>
      <c r="D657" s="54"/>
      <c r="E657" s="55"/>
      <c r="F657" s="56"/>
      <c r="H657" s="56"/>
      <c r="I657" s="100"/>
      <c r="K657" s="100"/>
      <c r="L657" s="100"/>
      <c r="M657" s="100"/>
      <c r="N657" s="54"/>
      <c r="Q657" s="107"/>
      <c r="R657" s="107"/>
    </row>
    <row r="658" spans="1:18" s="49" customFormat="1" ht="12.75" x14ac:dyDescent="0.2">
      <c r="A658" s="53"/>
      <c r="D658" s="54"/>
      <c r="E658" s="55"/>
      <c r="F658" s="56"/>
      <c r="H658" s="56"/>
      <c r="I658" s="100"/>
      <c r="K658" s="100"/>
      <c r="L658" s="100"/>
      <c r="M658" s="100"/>
      <c r="N658" s="54"/>
      <c r="Q658" s="107"/>
      <c r="R658" s="107"/>
    </row>
    <row r="659" spans="1:18" s="49" customFormat="1" ht="12.75" x14ac:dyDescent="0.2">
      <c r="A659" s="53"/>
      <c r="D659" s="54"/>
      <c r="E659" s="55"/>
      <c r="F659" s="56"/>
      <c r="H659" s="56"/>
      <c r="I659" s="100"/>
      <c r="K659" s="100"/>
      <c r="L659" s="100"/>
      <c r="M659" s="100"/>
      <c r="N659" s="54"/>
      <c r="Q659" s="107"/>
      <c r="R659" s="107"/>
    </row>
    <row r="660" spans="1:18" s="49" customFormat="1" ht="12.75" x14ac:dyDescent="0.2">
      <c r="A660" s="53"/>
      <c r="D660" s="54"/>
      <c r="E660" s="55"/>
      <c r="F660" s="56"/>
      <c r="H660" s="56"/>
      <c r="I660" s="100"/>
      <c r="K660" s="100"/>
      <c r="L660" s="100"/>
      <c r="M660" s="100"/>
      <c r="N660" s="54"/>
      <c r="Q660" s="107"/>
      <c r="R660" s="107"/>
    </row>
    <row r="661" spans="1:18" s="49" customFormat="1" ht="12.75" x14ac:dyDescent="0.2">
      <c r="A661" s="53"/>
      <c r="D661" s="54"/>
      <c r="E661" s="55"/>
      <c r="F661" s="56"/>
      <c r="H661" s="56"/>
      <c r="I661" s="100"/>
      <c r="K661" s="100"/>
      <c r="L661" s="100"/>
      <c r="M661" s="100"/>
      <c r="N661" s="54"/>
      <c r="Q661" s="107"/>
      <c r="R661" s="107"/>
    </row>
    <row r="662" spans="1:18" s="49" customFormat="1" ht="12.75" x14ac:dyDescent="0.2">
      <c r="A662" s="53"/>
      <c r="D662" s="54"/>
      <c r="E662" s="55"/>
      <c r="F662" s="56"/>
      <c r="H662" s="56"/>
      <c r="I662" s="100"/>
      <c r="K662" s="100"/>
      <c r="L662" s="100"/>
      <c r="M662" s="100"/>
      <c r="N662" s="54"/>
      <c r="Q662" s="107"/>
      <c r="R662" s="107"/>
    </row>
    <row r="663" spans="1:18" s="49" customFormat="1" ht="12.75" x14ac:dyDescent="0.2">
      <c r="A663" s="53"/>
      <c r="D663" s="54"/>
      <c r="E663" s="55"/>
      <c r="F663" s="56"/>
      <c r="H663" s="56"/>
      <c r="I663" s="100"/>
      <c r="K663" s="100"/>
      <c r="L663" s="100"/>
      <c r="M663" s="100"/>
      <c r="N663" s="54"/>
      <c r="Q663" s="107"/>
      <c r="R663" s="107"/>
    </row>
    <row r="664" spans="1:18" s="49" customFormat="1" ht="12.75" x14ac:dyDescent="0.2">
      <c r="A664" s="53"/>
      <c r="D664" s="54"/>
      <c r="E664" s="55"/>
      <c r="F664" s="56"/>
      <c r="H664" s="56"/>
      <c r="I664" s="100"/>
      <c r="K664" s="100"/>
      <c r="L664" s="100"/>
      <c r="M664" s="100"/>
      <c r="N664" s="54"/>
      <c r="Q664" s="107"/>
      <c r="R664" s="107"/>
    </row>
    <row r="665" spans="1:18" s="49" customFormat="1" ht="12.75" x14ac:dyDescent="0.2">
      <c r="A665" s="53"/>
      <c r="D665" s="54"/>
      <c r="E665" s="55"/>
      <c r="F665" s="56"/>
      <c r="H665" s="56"/>
      <c r="I665" s="100"/>
      <c r="K665" s="100"/>
      <c r="L665" s="100"/>
      <c r="M665" s="100"/>
      <c r="N665" s="54"/>
      <c r="Q665" s="107"/>
      <c r="R665" s="107"/>
    </row>
    <row r="666" spans="1:18" s="49" customFormat="1" ht="12.75" x14ac:dyDescent="0.2">
      <c r="A666" s="53"/>
      <c r="D666" s="54"/>
      <c r="E666" s="55"/>
      <c r="F666" s="56"/>
      <c r="H666" s="56"/>
      <c r="I666" s="100"/>
      <c r="K666" s="100"/>
      <c r="L666" s="100"/>
      <c r="M666" s="100"/>
      <c r="N666" s="54"/>
      <c r="Q666" s="107"/>
      <c r="R666" s="107"/>
    </row>
    <row r="667" spans="1:18" s="49" customFormat="1" ht="12.75" x14ac:dyDescent="0.2">
      <c r="A667" s="53"/>
      <c r="D667" s="54"/>
      <c r="E667" s="55"/>
      <c r="F667" s="56"/>
      <c r="H667" s="56"/>
      <c r="I667" s="100"/>
      <c r="K667" s="100"/>
      <c r="L667" s="100"/>
      <c r="M667" s="100"/>
      <c r="N667" s="54"/>
      <c r="Q667" s="107"/>
      <c r="R667" s="107"/>
    </row>
    <row r="668" spans="1:18" s="49" customFormat="1" ht="12.75" x14ac:dyDescent="0.2">
      <c r="A668" s="53"/>
      <c r="D668" s="54"/>
      <c r="E668" s="55"/>
      <c r="F668" s="56"/>
      <c r="H668" s="56"/>
      <c r="I668" s="100"/>
      <c r="K668" s="100"/>
      <c r="L668" s="100"/>
      <c r="M668" s="100"/>
      <c r="N668" s="54"/>
      <c r="Q668" s="107"/>
      <c r="R668" s="107"/>
    </row>
    <row r="669" spans="1:18" s="49" customFormat="1" ht="12.75" x14ac:dyDescent="0.2">
      <c r="A669" s="53"/>
      <c r="D669" s="54"/>
      <c r="E669" s="55"/>
      <c r="F669" s="56"/>
      <c r="H669" s="56"/>
      <c r="I669" s="100"/>
      <c r="K669" s="100"/>
      <c r="L669" s="100"/>
      <c r="M669" s="100"/>
      <c r="N669" s="54"/>
      <c r="Q669" s="107"/>
      <c r="R669" s="107"/>
    </row>
    <row r="670" spans="1:18" s="49" customFormat="1" ht="12.75" x14ac:dyDescent="0.2">
      <c r="A670" s="53"/>
      <c r="D670" s="54"/>
      <c r="E670" s="55"/>
      <c r="F670" s="56"/>
      <c r="H670" s="56"/>
      <c r="I670" s="100"/>
      <c r="K670" s="100"/>
      <c r="L670" s="100"/>
      <c r="M670" s="100"/>
      <c r="N670" s="54"/>
      <c r="Q670" s="107"/>
      <c r="R670" s="107"/>
    </row>
    <row r="671" spans="1:18" s="49" customFormat="1" ht="12.75" x14ac:dyDescent="0.2">
      <c r="A671" s="53"/>
      <c r="D671" s="54"/>
      <c r="E671" s="55"/>
      <c r="F671" s="56"/>
      <c r="H671" s="56"/>
      <c r="I671" s="100"/>
      <c r="K671" s="100"/>
      <c r="L671" s="100"/>
      <c r="M671" s="100"/>
      <c r="N671" s="54"/>
      <c r="Q671" s="107"/>
      <c r="R671" s="107"/>
    </row>
    <row r="672" spans="1:18" s="49" customFormat="1" ht="12.75" x14ac:dyDescent="0.2">
      <c r="A672" s="53"/>
      <c r="D672" s="54"/>
      <c r="E672" s="55"/>
      <c r="F672" s="56"/>
      <c r="H672" s="56"/>
      <c r="I672" s="100"/>
      <c r="K672" s="100"/>
      <c r="L672" s="100"/>
      <c r="M672" s="100"/>
      <c r="N672" s="54"/>
      <c r="Q672" s="107"/>
      <c r="R672" s="107"/>
    </row>
    <row r="673" spans="1:18" s="49" customFormat="1" ht="12.75" x14ac:dyDescent="0.2">
      <c r="A673" s="53"/>
      <c r="D673" s="54"/>
      <c r="E673" s="55"/>
      <c r="F673" s="56"/>
      <c r="H673" s="56"/>
      <c r="I673" s="100"/>
      <c r="K673" s="100"/>
      <c r="L673" s="100"/>
      <c r="M673" s="100"/>
      <c r="N673" s="54"/>
      <c r="Q673" s="107"/>
      <c r="R673" s="107"/>
    </row>
    <row r="674" spans="1:18" s="49" customFormat="1" ht="12.75" x14ac:dyDescent="0.2">
      <c r="A674" s="53"/>
      <c r="D674" s="54"/>
      <c r="E674" s="55"/>
      <c r="F674" s="56"/>
      <c r="H674" s="56"/>
      <c r="I674" s="100"/>
      <c r="K674" s="100"/>
      <c r="L674" s="100"/>
      <c r="M674" s="100"/>
      <c r="N674" s="54"/>
      <c r="Q674" s="107"/>
      <c r="R674" s="107"/>
    </row>
    <row r="675" spans="1:18" s="49" customFormat="1" ht="12.75" x14ac:dyDescent="0.2">
      <c r="A675" s="53"/>
      <c r="D675" s="54"/>
      <c r="E675" s="55"/>
      <c r="F675" s="56"/>
      <c r="H675" s="56"/>
      <c r="I675" s="100"/>
      <c r="K675" s="100"/>
      <c r="L675" s="100"/>
      <c r="M675" s="100"/>
      <c r="N675" s="54"/>
      <c r="Q675" s="107"/>
      <c r="R675" s="107"/>
    </row>
    <row r="676" spans="1:18" s="49" customFormat="1" ht="12.75" x14ac:dyDescent="0.2">
      <c r="A676" s="53"/>
      <c r="D676" s="54"/>
      <c r="E676" s="55"/>
      <c r="F676" s="56"/>
      <c r="H676" s="56"/>
      <c r="I676" s="100"/>
      <c r="K676" s="100"/>
      <c r="L676" s="100"/>
      <c r="M676" s="100"/>
      <c r="N676" s="54"/>
      <c r="Q676" s="107"/>
      <c r="R676" s="107"/>
    </row>
    <row r="677" spans="1:18" s="49" customFormat="1" ht="12.75" x14ac:dyDescent="0.2">
      <c r="A677" s="53"/>
      <c r="D677" s="54"/>
      <c r="E677" s="55"/>
      <c r="F677" s="56"/>
      <c r="H677" s="56"/>
      <c r="I677" s="100"/>
      <c r="K677" s="100"/>
      <c r="L677" s="100"/>
      <c r="M677" s="100"/>
      <c r="N677" s="54"/>
      <c r="Q677" s="107"/>
      <c r="R677" s="107"/>
    </row>
    <row r="678" spans="1:18" s="49" customFormat="1" ht="12.75" x14ac:dyDescent="0.2">
      <c r="A678" s="53"/>
      <c r="D678" s="54"/>
      <c r="E678" s="55"/>
      <c r="F678" s="56"/>
      <c r="H678" s="56"/>
      <c r="I678" s="100"/>
      <c r="K678" s="100"/>
      <c r="L678" s="100"/>
      <c r="M678" s="100"/>
      <c r="N678" s="54"/>
      <c r="Q678" s="107"/>
      <c r="R678" s="107"/>
    </row>
    <row r="679" spans="1:18" s="49" customFormat="1" ht="12.75" x14ac:dyDescent="0.2">
      <c r="A679" s="53"/>
      <c r="D679" s="54"/>
      <c r="E679" s="55"/>
      <c r="F679" s="56"/>
      <c r="H679" s="56"/>
      <c r="I679" s="100"/>
      <c r="K679" s="100"/>
      <c r="L679" s="100"/>
      <c r="M679" s="100"/>
      <c r="N679" s="54"/>
      <c r="Q679" s="107"/>
      <c r="R679" s="107"/>
    </row>
    <row r="680" spans="1:18" s="49" customFormat="1" ht="12.75" x14ac:dyDescent="0.2">
      <c r="A680" s="53"/>
      <c r="D680" s="54"/>
      <c r="E680" s="55"/>
      <c r="F680" s="56"/>
      <c r="H680" s="56"/>
      <c r="I680" s="100"/>
      <c r="K680" s="100"/>
      <c r="L680" s="100"/>
      <c r="M680" s="100"/>
      <c r="N680" s="54"/>
      <c r="Q680" s="107"/>
      <c r="R680" s="107"/>
    </row>
    <row r="681" spans="1:18" s="49" customFormat="1" ht="12.75" x14ac:dyDescent="0.2">
      <c r="A681" s="53"/>
      <c r="D681" s="54"/>
      <c r="E681" s="55"/>
      <c r="F681" s="56"/>
      <c r="H681" s="56"/>
      <c r="I681" s="100"/>
      <c r="K681" s="100"/>
      <c r="L681" s="100"/>
      <c r="M681" s="100"/>
      <c r="N681" s="54"/>
      <c r="Q681" s="107"/>
      <c r="R681" s="107"/>
    </row>
    <row r="682" spans="1:18" s="49" customFormat="1" ht="12.75" x14ac:dyDescent="0.2">
      <c r="A682" s="53"/>
      <c r="D682" s="54"/>
      <c r="E682" s="55"/>
      <c r="F682" s="56"/>
      <c r="H682" s="56"/>
      <c r="I682" s="100"/>
      <c r="K682" s="100"/>
      <c r="L682" s="100"/>
      <c r="M682" s="100"/>
      <c r="N682" s="54"/>
      <c r="Q682" s="107"/>
      <c r="R682" s="107"/>
    </row>
    <row r="683" spans="1:18" s="49" customFormat="1" ht="12.75" x14ac:dyDescent="0.2">
      <c r="A683" s="53"/>
      <c r="D683" s="54"/>
      <c r="E683" s="55"/>
      <c r="F683" s="56"/>
      <c r="H683" s="56"/>
      <c r="I683" s="100"/>
      <c r="K683" s="100"/>
      <c r="L683" s="100"/>
      <c r="M683" s="100"/>
      <c r="N683" s="54"/>
      <c r="Q683" s="107"/>
      <c r="R683" s="107"/>
    </row>
    <row r="684" spans="1:18" s="49" customFormat="1" ht="12.75" x14ac:dyDescent="0.2">
      <c r="A684" s="53"/>
      <c r="D684" s="54"/>
      <c r="E684" s="55"/>
      <c r="F684" s="56"/>
      <c r="H684" s="56"/>
      <c r="I684" s="100"/>
      <c r="K684" s="100"/>
      <c r="L684" s="100"/>
      <c r="M684" s="100"/>
      <c r="N684" s="54"/>
      <c r="Q684" s="107"/>
      <c r="R684" s="107"/>
    </row>
    <row r="685" spans="1:18" s="49" customFormat="1" ht="12.75" x14ac:dyDescent="0.2">
      <c r="A685" s="53"/>
      <c r="D685" s="54"/>
      <c r="E685" s="55"/>
      <c r="F685" s="56"/>
      <c r="H685" s="56"/>
      <c r="I685" s="100"/>
      <c r="K685" s="100"/>
      <c r="L685" s="100"/>
      <c r="M685" s="100"/>
      <c r="N685" s="54"/>
      <c r="Q685" s="107"/>
      <c r="R685" s="107"/>
    </row>
    <row r="686" spans="1:18" s="49" customFormat="1" ht="12.75" x14ac:dyDescent="0.2">
      <c r="A686" s="53"/>
      <c r="D686" s="54"/>
      <c r="E686" s="55"/>
      <c r="F686" s="56"/>
      <c r="H686" s="56"/>
      <c r="I686" s="100"/>
      <c r="K686" s="100"/>
      <c r="L686" s="100"/>
      <c r="M686" s="100"/>
      <c r="N686" s="54"/>
      <c r="Q686" s="107"/>
      <c r="R686" s="107"/>
    </row>
    <row r="687" spans="1:18" s="49" customFormat="1" ht="12.75" x14ac:dyDescent="0.2">
      <c r="A687" s="53"/>
      <c r="D687" s="54"/>
      <c r="E687" s="55"/>
      <c r="F687" s="56"/>
      <c r="H687" s="56"/>
      <c r="I687" s="100"/>
      <c r="K687" s="100"/>
      <c r="L687" s="100"/>
      <c r="M687" s="100"/>
      <c r="N687" s="54"/>
      <c r="Q687" s="107"/>
      <c r="R687" s="107"/>
    </row>
    <row r="688" spans="1:18" s="49" customFormat="1" ht="12.75" x14ac:dyDescent="0.2">
      <c r="A688" s="53"/>
      <c r="D688" s="54"/>
      <c r="E688" s="55"/>
      <c r="F688" s="56"/>
      <c r="H688" s="56"/>
      <c r="I688" s="100"/>
      <c r="K688" s="100"/>
      <c r="L688" s="100"/>
      <c r="M688" s="100"/>
      <c r="N688" s="54"/>
      <c r="Q688" s="107"/>
      <c r="R688" s="107"/>
    </row>
    <row r="689" spans="1:18" s="49" customFormat="1" ht="12.75" x14ac:dyDescent="0.2">
      <c r="A689" s="53"/>
      <c r="D689" s="54"/>
      <c r="E689" s="55"/>
      <c r="F689" s="56"/>
      <c r="H689" s="56"/>
      <c r="I689" s="100"/>
      <c r="K689" s="100"/>
      <c r="L689" s="100"/>
      <c r="M689" s="100"/>
      <c r="N689" s="54"/>
      <c r="Q689" s="107"/>
      <c r="R689" s="107"/>
    </row>
    <row r="690" spans="1:18" s="49" customFormat="1" ht="12.75" x14ac:dyDescent="0.2">
      <c r="A690" s="53"/>
      <c r="D690" s="54"/>
      <c r="E690" s="55"/>
      <c r="F690" s="56"/>
      <c r="H690" s="56"/>
      <c r="I690" s="100"/>
      <c r="K690" s="100"/>
      <c r="L690" s="100"/>
      <c r="M690" s="100"/>
      <c r="N690" s="54"/>
      <c r="Q690" s="107"/>
      <c r="R690" s="107"/>
    </row>
    <row r="691" spans="1:18" s="49" customFormat="1" ht="12.75" x14ac:dyDescent="0.2">
      <c r="A691" s="53"/>
      <c r="D691" s="54"/>
      <c r="E691" s="55"/>
      <c r="F691" s="56"/>
      <c r="H691" s="56"/>
      <c r="I691" s="100"/>
      <c r="K691" s="100"/>
      <c r="L691" s="100"/>
      <c r="M691" s="100"/>
      <c r="N691" s="54"/>
      <c r="Q691" s="107"/>
      <c r="R691" s="107"/>
    </row>
    <row r="692" spans="1:18" s="49" customFormat="1" ht="12.75" x14ac:dyDescent="0.2">
      <c r="A692" s="53"/>
      <c r="D692" s="54"/>
      <c r="E692" s="55"/>
      <c r="F692" s="56"/>
      <c r="H692" s="56"/>
      <c r="I692" s="100"/>
      <c r="K692" s="100"/>
      <c r="L692" s="100"/>
      <c r="M692" s="100"/>
      <c r="N692" s="54"/>
      <c r="Q692" s="107"/>
      <c r="R692" s="107"/>
    </row>
    <row r="693" spans="1:18" s="49" customFormat="1" ht="12.75" x14ac:dyDescent="0.2">
      <c r="A693" s="53"/>
      <c r="D693" s="54"/>
      <c r="E693" s="55"/>
      <c r="F693" s="56"/>
      <c r="H693" s="56"/>
      <c r="I693" s="100"/>
      <c r="K693" s="100"/>
      <c r="L693" s="100"/>
      <c r="M693" s="100"/>
      <c r="N693" s="54"/>
      <c r="Q693" s="107"/>
      <c r="R693" s="107"/>
    </row>
    <row r="694" spans="1:18" s="49" customFormat="1" ht="12.75" x14ac:dyDescent="0.2">
      <c r="A694" s="53"/>
      <c r="D694" s="54"/>
      <c r="E694" s="55"/>
      <c r="F694" s="56"/>
      <c r="H694" s="56"/>
      <c r="I694" s="100"/>
      <c r="K694" s="100"/>
      <c r="L694" s="100"/>
      <c r="M694" s="100"/>
      <c r="N694" s="54"/>
      <c r="Q694" s="107"/>
      <c r="R694" s="107"/>
    </row>
    <row r="695" spans="1:18" s="49" customFormat="1" ht="12.75" x14ac:dyDescent="0.2">
      <c r="A695" s="53"/>
      <c r="D695" s="54"/>
      <c r="E695" s="55"/>
      <c r="F695" s="56"/>
      <c r="H695" s="56"/>
      <c r="I695" s="100"/>
      <c r="K695" s="100"/>
      <c r="L695" s="100"/>
      <c r="M695" s="100"/>
      <c r="N695" s="54"/>
      <c r="Q695" s="107"/>
      <c r="R695" s="107"/>
    </row>
    <row r="696" spans="1:18" s="49" customFormat="1" ht="12.75" x14ac:dyDescent="0.2">
      <c r="A696" s="53"/>
      <c r="D696" s="54"/>
      <c r="E696" s="55"/>
      <c r="F696" s="56"/>
      <c r="H696" s="56"/>
      <c r="I696" s="100"/>
      <c r="K696" s="100"/>
      <c r="L696" s="100"/>
      <c r="M696" s="100"/>
      <c r="N696" s="54"/>
      <c r="Q696" s="107"/>
      <c r="R696" s="107"/>
    </row>
    <row r="697" spans="1:18" s="49" customFormat="1" ht="12.75" x14ac:dyDescent="0.2">
      <c r="A697" s="53"/>
      <c r="D697" s="54"/>
      <c r="E697" s="55"/>
      <c r="F697" s="56"/>
      <c r="H697" s="56"/>
      <c r="I697" s="100"/>
      <c r="K697" s="100"/>
      <c r="L697" s="100"/>
      <c r="M697" s="100"/>
      <c r="N697" s="54"/>
      <c r="Q697" s="107"/>
      <c r="R697" s="107"/>
    </row>
    <row r="698" spans="1:18" s="49" customFormat="1" ht="12.75" x14ac:dyDescent="0.2">
      <c r="A698" s="53"/>
      <c r="D698" s="54"/>
      <c r="E698" s="55"/>
      <c r="F698" s="56"/>
      <c r="H698" s="56"/>
      <c r="I698" s="100"/>
      <c r="K698" s="100"/>
      <c r="L698" s="100"/>
      <c r="M698" s="100"/>
      <c r="N698" s="54"/>
      <c r="Q698" s="107"/>
      <c r="R698" s="107"/>
    </row>
    <row r="699" spans="1:18" s="49" customFormat="1" ht="12.75" x14ac:dyDescent="0.2">
      <c r="A699" s="53"/>
      <c r="D699" s="54"/>
      <c r="E699" s="55"/>
      <c r="F699" s="56"/>
      <c r="H699" s="56"/>
      <c r="I699" s="100"/>
      <c r="K699" s="100"/>
      <c r="L699" s="100"/>
      <c r="M699" s="100"/>
      <c r="N699" s="54"/>
      <c r="Q699" s="107"/>
      <c r="R699" s="107"/>
    </row>
    <row r="700" spans="1:18" s="49" customFormat="1" ht="12.75" x14ac:dyDescent="0.2">
      <c r="A700" s="53"/>
      <c r="D700" s="54"/>
      <c r="E700" s="55"/>
      <c r="F700" s="56"/>
      <c r="H700" s="56"/>
      <c r="I700" s="100"/>
      <c r="K700" s="100"/>
      <c r="L700" s="100"/>
      <c r="M700" s="100"/>
      <c r="N700" s="54"/>
      <c r="Q700" s="107"/>
      <c r="R700" s="107"/>
    </row>
    <row r="701" spans="1:18" s="49" customFormat="1" ht="12.75" x14ac:dyDescent="0.2">
      <c r="A701" s="53"/>
      <c r="D701" s="54"/>
      <c r="E701" s="55"/>
      <c r="F701" s="56"/>
      <c r="H701" s="56"/>
      <c r="I701" s="100"/>
      <c r="K701" s="100"/>
      <c r="L701" s="100"/>
      <c r="M701" s="100"/>
      <c r="N701" s="54"/>
      <c r="Q701" s="107"/>
      <c r="R701" s="107"/>
    </row>
    <row r="702" spans="1:18" s="49" customFormat="1" ht="12.75" x14ac:dyDescent="0.2">
      <c r="A702" s="53"/>
      <c r="D702" s="54"/>
      <c r="E702" s="55"/>
      <c r="F702" s="56"/>
      <c r="H702" s="56"/>
      <c r="I702" s="100"/>
      <c r="K702" s="100"/>
      <c r="L702" s="100"/>
      <c r="M702" s="100"/>
      <c r="N702" s="54"/>
      <c r="Q702" s="107"/>
      <c r="R702" s="107"/>
    </row>
    <row r="703" spans="1:18" s="49" customFormat="1" ht="12.75" x14ac:dyDescent="0.2">
      <c r="A703" s="53"/>
      <c r="D703" s="54"/>
      <c r="E703" s="55"/>
      <c r="F703" s="56"/>
      <c r="H703" s="56"/>
      <c r="I703" s="100"/>
      <c r="K703" s="100"/>
      <c r="L703" s="100"/>
      <c r="M703" s="100"/>
      <c r="N703" s="54"/>
      <c r="Q703" s="107"/>
      <c r="R703" s="107"/>
    </row>
    <row r="704" spans="1:18" s="49" customFormat="1" ht="12.75" x14ac:dyDescent="0.2">
      <c r="A704" s="53"/>
      <c r="D704" s="54"/>
      <c r="E704" s="55"/>
      <c r="F704" s="56"/>
      <c r="H704" s="56"/>
      <c r="I704" s="100"/>
      <c r="K704" s="100"/>
      <c r="L704" s="100"/>
      <c r="M704" s="100"/>
      <c r="N704" s="54"/>
      <c r="Q704" s="107"/>
      <c r="R704" s="107"/>
    </row>
    <row r="705" spans="1:18" s="49" customFormat="1" ht="12.75" x14ac:dyDescent="0.2">
      <c r="A705" s="53"/>
      <c r="D705" s="54"/>
      <c r="E705" s="55"/>
      <c r="F705" s="56"/>
      <c r="H705" s="56"/>
      <c r="I705" s="100"/>
      <c r="K705" s="100"/>
      <c r="L705" s="100"/>
      <c r="M705" s="100"/>
      <c r="N705" s="54"/>
      <c r="Q705" s="107"/>
      <c r="R705" s="107"/>
    </row>
    <row r="706" spans="1:18" s="49" customFormat="1" ht="12.75" x14ac:dyDescent="0.2">
      <c r="A706" s="53"/>
      <c r="D706" s="54"/>
      <c r="E706" s="55"/>
      <c r="F706" s="56"/>
      <c r="H706" s="56"/>
      <c r="I706" s="100"/>
      <c r="K706" s="100"/>
      <c r="L706" s="100"/>
      <c r="M706" s="100"/>
      <c r="N706" s="54"/>
      <c r="Q706" s="107"/>
      <c r="R706" s="107"/>
    </row>
    <row r="707" spans="1:18" s="49" customFormat="1" ht="12.75" x14ac:dyDescent="0.2">
      <c r="A707" s="53"/>
      <c r="D707" s="54"/>
      <c r="E707" s="55"/>
      <c r="F707" s="56"/>
      <c r="H707" s="56"/>
      <c r="I707" s="100"/>
      <c r="K707" s="100"/>
      <c r="L707" s="100"/>
      <c r="M707" s="100"/>
      <c r="N707" s="54"/>
      <c r="Q707" s="107"/>
      <c r="R707" s="107"/>
    </row>
    <row r="708" spans="1:18" s="49" customFormat="1" ht="12.75" x14ac:dyDescent="0.2">
      <c r="A708" s="53"/>
      <c r="D708" s="54"/>
      <c r="E708" s="55"/>
      <c r="F708" s="56"/>
      <c r="H708" s="56"/>
      <c r="I708" s="100"/>
      <c r="K708" s="100"/>
      <c r="L708" s="100"/>
      <c r="M708" s="100"/>
      <c r="N708" s="54"/>
      <c r="Q708" s="107"/>
      <c r="R708" s="107"/>
    </row>
    <row r="709" spans="1:18" s="49" customFormat="1" ht="12.75" x14ac:dyDescent="0.2">
      <c r="A709" s="53"/>
      <c r="D709" s="54"/>
      <c r="E709" s="55"/>
      <c r="F709" s="56"/>
      <c r="H709" s="56"/>
      <c r="I709" s="100"/>
      <c r="K709" s="100"/>
      <c r="L709" s="100"/>
      <c r="M709" s="100"/>
      <c r="N709" s="54"/>
      <c r="Q709" s="107"/>
      <c r="R709" s="107"/>
    </row>
    <row r="710" spans="1:18" s="49" customFormat="1" ht="12.75" x14ac:dyDescent="0.2">
      <c r="A710" s="53"/>
      <c r="D710" s="54"/>
      <c r="E710" s="55"/>
      <c r="F710" s="56"/>
      <c r="H710" s="56"/>
      <c r="I710" s="100"/>
      <c r="K710" s="100"/>
      <c r="L710" s="100"/>
      <c r="M710" s="100"/>
      <c r="N710" s="54"/>
      <c r="Q710" s="107"/>
      <c r="R710" s="107"/>
    </row>
    <row r="711" spans="1:18" s="49" customFormat="1" ht="12.75" x14ac:dyDescent="0.2">
      <c r="A711" s="53"/>
      <c r="D711" s="54"/>
      <c r="E711" s="55"/>
      <c r="F711" s="56"/>
      <c r="H711" s="56"/>
      <c r="I711" s="100"/>
      <c r="K711" s="100"/>
      <c r="L711" s="100"/>
      <c r="M711" s="100"/>
      <c r="N711" s="54"/>
      <c r="Q711" s="107"/>
      <c r="R711" s="107"/>
    </row>
    <row r="712" spans="1:18" s="49" customFormat="1" ht="12.75" x14ac:dyDescent="0.2">
      <c r="A712" s="53"/>
      <c r="D712" s="54"/>
      <c r="E712" s="55"/>
      <c r="F712" s="56"/>
      <c r="H712" s="56"/>
      <c r="I712" s="100"/>
      <c r="K712" s="100"/>
      <c r="L712" s="100"/>
      <c r="M712" s="100"/>
      <c r="N712" s="54"/>
      <c r="Q712" s="107"/>
      <c r="R712" s="107"/>
    </row>
    <row r="713" spans="1:18" s="49" customFormat="1" ht="12.75" x14ac:dyDescent="0.2">
      <c r="A713" s="53"/>
      <c r="D713" s="54"/>
      <c r="E713" s="55"/>
      <c r="F713" s="56"/>
      <c r="H713" s="56"/>
      <c r="I713" s="100"/>
      <c r="K713" s="100"/>
      <c r="L713" s="100"/>
      <c r="M713" s="100"/>
      <c r="N713" s="54"/>
      <c r="Q713" s="107"/>
      <c r="R713" s="107"/>
    </row>
    <row r="714" spans="1:18" s="49" customFormat="1" ht="12.75" x14ac:dyDescent="0.2">
      <c r="A714" s="53"/>
      <c r="D714" s="54"/>
      <c r="E714" s="55"/>
      <c r="F714" s="56"/>
      <c r="H714" s="56"/>
      <c r="I714" s="100"/>
      <c r="K714" s="100"/>
      <c r="L714" s="100"/>
      <c r="M714" s="100"/>
      <c r="N714" s="54"/>
      <c r="Q714" s="107"/>
      <c r="R714" s="107"/>
    </row>
    <row r="715" spans="1:18" s="49" customFormat="1" ht="12.75" x14ac:dyDescent="0.2">
      <c r="A715" s="53"/>
      <c r="D715" s="54"/>
      <c r="E715" s="55"/>
      <c r="F715" s="56"/>
      <c r="H715" s="56"/>
      <c r="I715" s="100"/>
      <c r="K715" s="100"/>
      <c r="L715" s="100"/>
      <c r="M715" s="100"/>
      <c r="N715" s="54"/>
      <c r="Q715" s="107"/>
      <c r="R715" s="107"/>
    </row>
    <row r="716" spans="1:18" s="49" customFormat="1" ht="12.75" x14ac:dyDescent="0.2">
      <c r="A716" s="53"/>
      <c r="D716" s="54"/>
      <c r="E716" s="55"/>
      <c r="F716" s="56"/>
      <c r="H716" s="56"/>
      <c r="I716" s="100"/>
      <c r="K716" s="100"/>
      <c r="L716" s="100"/>
      <c r="M716" s="100"/>
      <c r="N716" s="54"/>
      <c r="Q716" s="107"/>
      <c r="R716" s="107"/>
    </row>
    <row r="717" spans="1:18" s="49" customFormat="1" ht="12.75" x14ac:dyDescent="0.2">
      <c r="A717" s="53"/>
      <c r="D717" s="54"/>
      <c r="E717" s="55"/>
      <c r="F717" s="56"/>
      <c r="H717" s="56"/>
      <c r="I717" s="100"/>
      <c r="K717" s="100"/>
      <c r="L717" s="100"/>
      <c r="M717" s="100"/>
      <c r="N717" s="54"/>
      <c r="Q717" s="107"/>
      <c r="R717" s="107"/>
    </row>
    <row r="718" spans="1:18" s="49" customFormat="1" ht="12.75" x14ac:dyDescent="0.2">
      <c r="A718" s="53"/>
      <c r="D718" s="54"/>
      <c r="E718" s="55"/>
      <c r="F718" s="56"/>
      <c r="H718" s="56"/>
      <c r="I718" s="100"/>
      <c r="K718" s="100"/>
      <c r="L718" s="100"/>
      <c r="M718" s="100"/>
      <c r="N718" s="54"/>
      <c r="Q718" s="107"/>
      <c r="R718" s="107"/>
    </row>
    <row r="719" spans="1:18" s="49" customFormat="1" ht="12.75" x14ac:dyDescent="0.2">
      <c r="A719" s="53"/>
      <c r="D719" s="54"/>
      <c r="E719" s="55"/>
      <c r="F719" s="56"/>
      <c r="H719" s="56"/>
      <c r="I719" s="100"/>
      <c r="K719" s="100"/>
      <c r="L719" s="100"/>
      <c r="M719" s="100"/>
      <c r="N719" s="54"/>
      <c r="Q719" s="107"/>
      <c r="R719" s="107"/>
    </row>
    <row r="720" spans="1:18" s="49" customFormat="1" ht="12.75" x14ac:dyDescent="0.2">
      <c r="A720" s="53"/>
      <c r="D720" s="54"/>
      <c r="E720" s="55"/>
      <c r="F720" s="56"/>
      <c r="H720" s="56"/>
      <c r="I720" s="100"/>
      <c r="K720" s="100"/>
      <c r="L720" s="100"/>
      <c r="M720" s="100"/>
      <c r="N720" s="54"/>
      <c r="Q720" s="107"/>
      <c r="R720" s="107"/>
    </row>
    <row r="721" spans="1:18" s="49" customFormat="1" ht="12.75" x14ac:dyDescent="0.2">
      <c r="A721" s="53"/>
      <c r="D721" s="54"/>
      <c r="E721" s="55"/>
      <c r="F721" s="56"/>
      <c r="H721" s="56"/>
      <c r="I721" s="100"/>
      <c r="K721" s="100"/>
      <c r="L721" s="100"/>
      <c r="M721" s="100"/>
      <c r="N721" s="54"/>
      <c r="Q721" s="107"/>
      <c r="R721" s="107"/>
    </row>
    <row r="722" spans="1:18" s="49" customFormat="1" ht="12.75" x14ac:dyDescent="0.2">
      <c r="A722" s="53"/>
      <c r="D722" s="54"/>
      <c r="E722" s="55"/>
      <c r="F722" s="56"/>
      <c r="H722" s="56"/>
      <c r="I722" s="100"/>
      <c r="K722" s="100"/>
      <c r="L722" s="100"/>
      <c r="M722" s="100"/>
      <c r="N722" s="54"/>
      <c r="Q722" s="107"/>
      <c r="R722" s="107"/>
    </row>
    <row r="723" spans="1:18" s="49" customFormat="1" ht="12.75" x14ac:dyDescent="0.2">
      <c r="A723" s="53"/>
      <c r="D723" s="54"/>
      <c r="E723" s="55"/>
      <c r="F723" s="56"/>
      <c r="H723" s="56"/>
      <c r="I723" s="100"/>
      <c r="K723" s="100"/>
      <c r="L723" s="100"/>
      <c r="M723" s="100"/>
      <c r="N723" s="54"/>
      <c r="Q723" s="107"/>
      <c r="R723" s="107"/>
    </row>
    <row r="724" spans="1:18" s="49" customFormat="1" ht="12.75" x14ac:dyDescent="0.2">
      <c r="A724" s="53"/>
      <c r="D724" s="54"/>
      <c r="E724" s="55"/>
      <c r="F724" s="56"/>
      <c r="H724" s="56"/>
      <c r="I724" s="100"/>
      <c r="K724" s="100"/>
      <c r="L724" s="100"/>
      <c r="M724" s="100"/>
      <c r="N724" s="54"/>
      <c r="Q724" s="107"/>
      <c r="R724" s="107"/>
    </row>
    <row r="725" spans="1:18" s="49" customFormat="1" ht="12.75" x14ac:dyDescent="0.2">
      <c r="A725" s="53"/>
      <c r="D725" s="54"/>
      <c r="E725" s="55"/>
      <c r="F725" s="56"/>
      <c r="H725" s="56"/>
      <c r="I725" s="100"/>
      <c r="K725" s="100"/>
      <c r="L725" s="100"/>
      <c r="M725" s="100"/>
      <c r="N725" s="54"/>
      <c r="Q725" s="107"/>
      <c r="R725" s="107"/>
    </row>
    <row r="726" spans="1:18" s="49" customFormat="1" ht="12.75" x14ac:dyDescent="0.2">
      <c r="A726" s="53"/>
      <c r="D726" s="54"/>
      <c r="E726" s="55"/>
      <c r="F726" s="56"/>
      <c r="H726" s="56"/>
      <c r="I726" s="100"/>
      <c r="K726" s="100"/>
      <c r="L726" s="100"/>
      <c r="M726" s="100"/>
      <c r="N726" s="54"/>
      <c r="Q726" s="107"/>
      <c r="R726" s="107"/>
    </row>
    <row r="727" spans="1:18" s="49" customFormat="1" ht="12.75" x14ac:dyDescent="0.2">
      <c r="A727" s="53"/>
      <c r="D727" s="54"/>
      <c r="E727" s="55"/>
      <c r="F727" s="56"/>
      <c r="H727" s="56"/>
      <c r="I727" s="100"/>
      <c r="K727" s="100"/>
      <c r="L727" s="100"/>
      <c r="M727" s="100"/>
      <c r="N727" s="54"/>
      <c r="Q727" s="107"/>
      <c r="R727" s="107"/>
    </row>
    <row r="728" spans="1:18" s="49" customFormat="1" ht="12.75" x14ac:dyDescent="0.2">
      <c r="A728" s="53"/>
      <c r="D728" s="54"/>
      <c r="E728" s="55"/>
      <c r="F728" s="56"/>
      <c r="H728" s="56"/>
      <c r="I728" s="100"/>
      <c r="K728" s="100"/>
      <c r="L728" s="100"/>
      <c r="M728" s="100"/>
      <c r="N728" s="54"/>
      <c r="Q728" s="107"/>
      <c r="R728" s="107"/>
    </row>
    <row r="729" spans="1:18" s="49" customFormat="1" ht="12.75" x14ac:dyDescent="0.2">
      <c r="A729" s="53"/>
      <c r="D729" s="54"/>
      <c r="E729" s="55"/>
      <c r="F729" s="56"/>
      <c r="H729" s="56"/>
      <c r="I729" s="100"/>
      <c r="K729" s="100"/>
      <c r="L729" s="100"/>
      <c r="M729" s="100"/>
      <c r="N729" s="54"/>
      <c r="Q729" s="107"/>
      <c r="R729" s="107"/>
    </row>
    <row r="730" spans="1:18" s="49" customFormat="1" ht="12.75" x14ac:dyDescent="0.2">
      <c r="A730" s="53"/>
      <c r="D730" s="54"/>
      <c r="E730" s="55"/>
      <c r="F730" s="56"/>
      <c r="H730" s="56"/>
      <c r="I730" s="100"/>
      <c r="K730" s="100"/>
      <c r="L730" s="100"/>
      <c r="M730" s="100"/>
      <c r="N730" s="54"/>
      <c r="Q730" s="107"/>
      <c r="R730" s="107"/>
    </row>
    <row r="731" spans="1:18" s="49" customFormat="1" ht="12.75" x14ac:dyDescent="0.2">
      <c r="A731" s="53"/>
      <c r="D731" s="54"/>
      <c r="E731" s="55"/>
      <c r="F731" s="56"/>
      <c r="H731" s="56"/>
      <c r="I731" s="100"/>
      <c r="K731" s="100"/>
      <c r="L731" s="100"/>
      <c r="M731" s="100"/>
      <c r="N731" s="54"/>
      <c r="Q731" s="107"/>
      <c r="R731" s="107"/>
    </row>
    <row r="732" spans="1:18" s="49" customFormat="1" ht="12.75" x14ac:dyDescent="0.2">
      <c r="A732" s="53"/>
      <c r="D732" s="54"/>
      <c r="E732" s="55"/>
      <c r="F732" s="56"/>
      <c r="H732" s="56"/>
      <c r="I732" s="100"/>
      <c r="K732" s="100"/>
      <c r="L732" s="100"/>
      <c r="M732" s="100"/>
      <c r="N732" s="54"/>
      <c r="Q732" s="107"/>
      <c r="R732" s="107"/>
    </row>
    <row r="733" spans="1:18" s="49" customFormat="1" ht="12.75" x14ac:dyDescent="0.2">
      <c r="A733" s="53"/>
      <c r="D733" s="54"/>
      <c r="E733" s="55"/>
      <c r="F733" s="56"/>
      <c r="H733" s="56"/>
      <c r="I733" s="100"/>
      <c r="K733" s="100"/>
      <c r="L733" s="100"/>
      <c r="M733" s="100"/>
      <c r="N733" s="54"/>
      <c r="Q733" s="107"/>
      <c r="R733" s="107"/>
    </row>
    <row r="734" spans="1:18" s="49" customFormat="1" ht="12.75" x14ac:dyDescent="0.2">
      <c r="A734" s="53"/>
      <c r="D734" s="54"/>
      <c r="E734" s="55"/>
      <c r="F734" s="56"/>
      <c r="H734" s="56"/>
      <c r="I734" s="100"/>
      <c r="K734" s="100"/>
      <c r="L734" s="100"/>
      <c r="M734" s="100"/>
      <c r="N734" s="54"/>
      <c r="Q734" s="107"/>
      <c r="R734" s="107"/>
    </row>
    <row r="735" spans="1:18" s="49" customFormat="1" ht="12.75" x14ac:dyDescent="0.2">
      <c r="A735" s="53"/>
      <c r="D735" s="54"/>
      <c r="E735" s="55"/>
      <c r="F735" s="56"/>
      <c r="H735" s="56"/>
      <c r="I735" s="100"/>
      <c r="K735" s="100"/>
      <c r="L735" s="100"/>
      <c r="M735" s="100"/>
      <c r="N735" s="54"/>
      <c r="Q735" s="107"/>
      <c r="R735" s="107"/>
    </row>
    <row r="736" spans="1:18" s="49" customFormat="1" ht="12.75" x14ac:dyDescent="0.2">
      <c r="A736" s="53"/>
      <c r="D736" s="54"/>
      <c r="E736" s="55"/>
      <c r="F736" s="56"/>
      <c r="H736" s="56"/>
      <c r="I736" s="100"/>
      <c r="K736" s="100"/>
      <c r="L736" s="100"/>
      <c r="M736" s="100"/>
      <c r="N736" s="54"/>
      <c r="Q736" s="107"/>
      <c r="R736" s="107"/>
    </row>
    <row r="737" spans="1:18" s="49" customFormat="1" ht="12.75" x14ac:dyDescent="0.2">
      <c r="A737" s="53"/>
      <c r="D737" s="54"/>
      <c r="E737" s="55"/>
      <c r="F737" s="56"/>
      <c r="H737" s="56"/>
      <c r="I737" s="100"/>
      <c r="K737" s="100"/>
      <c r="L737" s="100"/>
      <c r="M737" s="100"/>
      <c r="N737" s="54"/>
      <c r="Q737" s="107"/>
      <c r="R737" s="107"/>
    </row>
    <row r="738" spans="1:18" s="49" customFormat="1" ht="12.75" x14ac:dyDescent="0.2">
      <c r="A738" s="53"/>
      <c r="D738" s="54"/>
      <c r="E738" s="55"/>
      <c r="F738" s="56"/>
      <c r="H738" s="56"/>
      <c r="I738" s="100"/>
      <c r="K738" s="100"/>
      <c r="L738" s="100"/>
      <c r="M738" s="100"/>
      <c r="N738" s="54"/>
      <c r="Q738" s="107"/>
      <c r="R738" s="107"/>
    </row>
    <row r="739" spans="1:18" s="49" customFormat="1" ht="12.75" x14ac:dyDescent="0.2">
      <c r="A739" s="53"/>
      <c r="D739" s="54"/>
      <c r="E739" s="55"/>
      <c r="F739" s="56"/>
      <c r="H739" s="56"/>
      <c r="I739" s="100"/>
      <c r="K739" s="100"/>
      <c r="L739" s="100"/>
      <c r="M739" s="100"/>
      <c r="N739" s="54"/>
      <c r="Q739" s="107"/>
      <c r="R739" s="107"/>
    </row>
    <row r="740" spans="1:18" s="49" customFormat="1" ht="12.75" x14ac:dyDescent="0.2">
      <c r="A740" s="53"/>
      <c r="D740" s="54"/>
      <c r="E740" s="55"/>
      <c r="F740" s="56"/>
      <c r="H740" s="56"/>
      <c r="I740" s="100"/>
      <c r="K740" s="100"/>
      <c r="L740" s="100"/>
      <c r="M740" s="100"/>
      <c r="N740" s="54"/>
      <c r="Q740" s="107"/>
      <c r="R740" s="107"/>
    </row>
    <row r="741" spans="1:18" s="49" customFormat="1" ht="12.75" x14ac:dyDescent="0.2">
      <c r="A741" s="53"/>
      <c r="D741" s="54"/>
      <c r="E741" s="55"/>
      <c r="F741" s="56"/>
      <c r="H741" s="56"/>
      <c r="I741" s="100"/>
      <c r="K741" s="100"/>
      <c r="L741" s="100"/>
      <c r="M741" s="100"/>
      <c r="N741" s="54"/>
      <c r="Q741" s="107"/>
      <c r="R741" s="107"/>
    </row>
    <row r="742" spans="1:18" s="49" customFormat="1" ht="12.75" x14ac:dyDescent="0.2">
      <c r="A742" s="53"/>
      <c r="D742" s="54"/>
      <c r="E742" s="55"/>
      <c r="F742" s="56"/>
      <c r="H742" s="56"/>
      <c r="I742" s="100"/>
      <c r="K742" s="100"/>
      <c r="L742" s="100"/>
      <c r="M742" s="100"/>
      <c r="N742" s="54"/>
      <c r="Q742" s="107"/>
      <c r="R742" s="107"/>
    </row>
    <row r="743" spans="1:18" s="49" customFormat="1" ht="12.75" x14ac:dyDescent="0.2">
      <c r="A743" s="53"/>
      <c r="D743" s="54"/>
      <c r="E743" s="55"/>
      <c r="F743" s="56"/>
      <c r="H743" s="56"/>
      <c r="I743" s="100"/>
      <c r="K743" s="100"/>
      <c r="L743" s="100"/>
      <c r="M743" s="100"/>
      <c r="N743" s="54"/>
      <c r="Q743" s="107"/>
      <c r="R743" s="107"/>
    </row>
    <row r="744" spans="1:18" s="49" customFormat="1" ht="12.75" x14ac:dyDescent="0.2">
      <c r="A744" s="53"/>
      <c r="D744" s="54"/>
      <c r="E744" s="55"/>
      <c r="F744" s="56"/>
      <c r="H744" s="56"/>
      <c r="I744" s="100"/>
      <c r="K744" s="100"/>
      <c r="L744" s="100"/>
      <c r="M744" s="100"/>
      <c r="N744" s="54"/>
      <c r="Q744" s="107"/>
      <c r="R744" s="107"/>
    </row>
    <row r="745" spans="1:18" s="49" customFormat="1" ht="12.75" x14ac:dyDescent="0.2">
      <c r="A745" s="53"/>
      <c r="D745" s="54"/>
      <c r="E745" s="55"/>
      <c r="F745" s="56"/>
      <c r="H745" s="56"/>
      <c r="I745" s="100"/>
      <c r="K745" s="100"/>
      <c r="L745" s="100"/>
      <c r="M745" s="100"/>
      <c r="N745" s="54"/>
      <c r="Q745" s="107"/>
      <c r="R745" s="107"/>
    </row>
    <row r="746" spans="1:18" s="49" customFormat="1" ht="12.75" x14ac:dyDescent="0.2">
      <c r="A746" s="53"/>
      <c r="D746" s="54"/>
      <c r="E746" s="55"/>
      <c r="F746" s="56"/>
      <c r="H746" s="56"/>
      <c r="I746" s="100"/>
      <c r="K746" s="100"/>
      <c r="L746" s="100"/>
      <c r="M746" s="100"/>
      <c r="N746" s="54"/>
      <c r="Q746" s="107"/>
      <c r="R746" s="107"/>
    </row>
    <row r="747" spans="1:18" s="49" customFormat="1" ht="12.75" x14ac:dyDescent="0.2">
      <c r="A747" s="53"/>
      <c r="D747" s="54"/>
      <c r="E747" s="55"/>
      <c r="F747" s="56"/>
      <c r="H747" s="56"/>
      <c r="I747" s="100"/>
      <c r="K747" s="100"/>
      <c r="L747" s="100"/>
      <c r="M747" s="100"/>
      <c r="N747" s="54"/>
      <c r="Q747" s="107"/>
      <c r="R747" s="107"/>
    </row>
    <row r="748" spans="1:18" s="49" customFormat="1" ht="12.75" x14ac:dyDescent="0.2">
      <c r="A748" s="53"/>
      <c r="D748" s="54"/>
      <c r="E748" s="55"/>
      <c r="F748" s="56"/>
      <c r="H748" s="56"/>
      <c r="I748" s="100"/>
      <c r="K748" s="100"/>
      <c r="L748" s="100"/>
      <c r="M748" s="100"/>
      <c r="N748" s="54"/>
      <c r="Q748" s="107"/>
      <c r="R748" s="107"/>
    </row>
    <row r="749" spans="1:18" s="49" customFormat="1" ht="12.75" x14ac:dyDescent="0.2">
      <c r="A749" s="53"/>
      <c r="D749" s="54"/>
      <c r="E749" s="55"/>
      <c r="F749" s="56"/>
      <c r="H749" s="56"/>
      <c r="I749" s="100"/>
      <c r="K749" s="100"/>
      <c r="L749" s="100"/>
      <c r="M749" s="100"/>
      <c r="N749" s="54"/>
      <c r="Q749" s="107"/>
      <c r="R749" s="107"/>
    </row>
    <row r="750" spans="1:18" s="49" customFormat="1" ht="12.75" x14ac:dyDescent="0.2">
      <c r="A750" s="53"/>
      <c r="D750" s="54"/>
      <c r="E750" s="55"/>
      <c r="F750" s="56"/>
      <c r="H750" s="56"/>
      <c r="I750" s="100"/>
      <c r="K750" s="100"/>
      <c r="L750" s="100"/>
      <c r="M750" s="100"/>
      <c r="N750" s="54"/>
      <c r="Q750" s="107"/>
      <c r="R750" s="107"/>
    </row>
    <row r="751" spans="1:18" s="49" customFormat="1" ht="12.75" x14ac:dyDescent="0.2">
      <c r="A751" s="53"/>
      <c r="D751" s="54"/>
      <c r="E751" s="55"/>
      <c r="F751" s="56"/>
      <c r="H751" s="56"/>
      <c r="I751" s="100"/>
      <c r="K751" s="100"/>
      <c r="L751" s="100"/>
      <c r="M751" s="100"/>
      <c r="N751" s="54"/>
      <c r="Q751" s="107"/>
      <c r="R751" s="107"/>
    </row>
    <row r="752" spans="1:18" s="49" customFormat="1" ht="12.75" x14ac:dyDescent="0.2">
      <c r="A752" s="53"/>
      <c r="D752" s="54"/>
      <c r="E752" s="55"/>
      <c r="F752" s="56"/>
      <c r="H752" s="56"/>
      <c r="I752" s="100"/>
      <c r="K752" s="100"/>
      <c r="L752" s="100"/>
      <c r="M752" s="100"/>
      <c r="N752" s="54"/>
      <c r="Q752" s="107"/>
      <c r="R752" s="107"/>
    </row>
    <row r="753" spans="1:18" s="49" customFormat="1" ht="12.75" x14ac:dyDescent="0.2">
      <c r="A753" s="53"/>
      <c r="D753" s="54"/>
      <c r="E753" s="55"/>
      <c r="F753" s="56"/>
      <c r="H753" s="56"/>
      <c r="I753" s="100"/>
      <c r="K753" s="100"/>
      <c r="L753" s="100"/>
      <c r="M753" s="100"/>
      <c r="N753" s="54"/>
      <c r="Q753" s="107"/>
      <c r="R753" s="107"/>
    </row>
    <row r="754" spans="1:18" s="49" customFormat="1" ht="12.75" x14ac:dyDescent="0.2">
      <c r="A754" s="53"/>
      <c r="D754" s="54"/>
      <c r="E754" s="55"/>
      <c r="F754" s="56"/>
      <c r="H754" s="56"/>
      <c r="I754" s="100"/>
      <c r="K754" s="100"/>
      <c r="L754" s="100"/>
      <c r="M754" s="100"/>
      <c r="N754" s="54"/>
      <c r="Q754" s="107"/>
      <c r="R754" s="107"/>
    </row>
    <row r="755" spans="1:18" s="49" customFormat="1" ht="12.75" x14ac:dyDescent="0.2">
      <c r="A755" s="53"/>
      <c r="D755" s="54"/>
      <c r="E755" s="55"/>
      <c r="F755" s="56"/>
      <c r="H755" s="56"/>
      <c r="I755" s="100"/>
      <c r="K755" s="100"/>
      <c r="L755" s="100"/>
      <c r="M755" s="100"/>
      <c r="N755" s="54"/>
      <c r="Q755" s="107"/>
      <c r="R755" s="107"/>
    </row>
    <row r="756" spans="1:18" s="49" customFormat="1" ht="12.75" x14ac:dyDescent="0.2">
      <c r="A756" s="53"/>
      <c r="D756" s="54"/>
      <c r="E756" s="55"/>
      <c r="F756" s="56"/>
      <c r="H756" s="56"/>
      <c r="I756" s="100"/>
      <c r="K756" s="100"/>
      <c r="L756" s="100"/>
      <c r="M756" s="100"/>
      <c r="N756" s="54"/>
      <c r="Q756" s="107"/>
      <c r="R756" s="107"/>
    </row>
    <row r="757" spans="1:18" s="49" customFormat="1" ht="12.75" x14ac:dyDescent="0.2">
      <c r="A757" s="53"/>
      <c r="D757" s="54"/>
      <c r="E757" s="55"/>
      <c r="F757" s="56"/>
      <c r="H757" s="56"/>
      <c r="I757" s="100"/>
      <c r="K757" s="100"/>
      <c r="L757" s="100"/>
      <c r="M757" s="100"/>
      <c r="N757" s="54"/>
      <c r="Q757" s="107"/>
      <c r="R757" s="107"/>
    </row>
    <row r="758" spans="1:18" s="49" customFormat="1" ht="12.75" x14ac:dyDescent="0.2">
      <c r="A758" s="53"/>
      <c r="D758" s="54"/>
      <c r="E758" s="55"/>
      <c r="F758" s="56"/>
      <c r="H758" s="56"/>
      <c r="I758" s="100"/>
      <c r="K758" s="100"/>
      <c r="L758" s="100"/>
      <c r="M758" s="100"/>
      <c r="N758" s="54"/>
      <c r="Q758" s="107"/>
      <c r="R758" s="107"/>
    </row>
    <row r="759" spans="1:18" s="49" customFormat="1" ht="12.75" x14ac:dyDescent="0.2">
      <c r="A759" s="53"/>
      <c r="D759" s="54"/>
      <c r="E759" s="55"/>
      <c r="F759" s="56"/>
      <c r="H759" s="56"/>
      <c r="I759" s="100"/>
      <c r="K759" s="100"/>
      <c r="L759" s="100"/>
      <c r="M759" s="100"/>
      <c r="N759" s="54"/>
      <c r="Q759" s="107"/>
      <c r="R759" s="107"/>
    </row>
    <row r="760" spans="1:18" s="49" customFormat="1" ht="12.75" x14ac:dyDescent="0.2">
      <c r="A760" s="53"/>
      <c r="D760" s="54"/>
      <c r="E760" s="55"/>
      <c r="F760" s="56"/>
      <c r="H760" s="56"/>
      <c r="I760" s="100"/>
      <c r="K760" s="100"/>
      <c r="L760" s="100"/>
      <c r="M760" s="100"/>
      <c r="N760" s="54"/>
      <c r="Q760" s="107"/>
      <c r="R760" s="107"/>
    </row>
    <row r="761" spans="1:18" s="49" customFormat="1" ht="12.75" x14ac:dyDescent="0.2">
      <c r="A761" s="53"/>
      <c r="D761" s="54"/>
      <c r="E761" s="55"/>
      <c r="F761" s="56"/>
      <c r="H761" s="56"/>
      <c r="I761" s="100"/>
      <c r="K761" s="100"/>
      <c r="L761" s="100"/>
      <c r="M761" s="100"/>
      <c r="N761" s="54"/>
      <c r="Q761" s="107"/>
      <c r="R761" s="107"/>
    </row>
    <row r="762" spans="1:18" s="49" customFormat="1" ht="12.75" x14ac:dyDescent="0.2">
      <c r="A762" s="53"/>
      <c r="D762" s="54"/>
      <c r="E762" s="55"/>
      <c r="F762" s="56"/>
      <c r="H762" s="56"/>
      <c r="I762" s="100"/>
      <c r="K762" s="100"/>
      <c r="L762" s="100"/>
      <c r="M762" s="100"/>
      <c r="N762" s="54"/>
      <c r="Q762" s="107"/>
      <c r="R762" s="107"/>
    </row>
    <row r="763" spans="1:18" s="49" customFormat="1" ht="12.75" x14ac:dyDescent="0.2">
      <c r="A763" s="53"/>
      <c r="D763" s="54"/>
      <c r="E763" s="55"/>
      <c r="F763" s="56"/>
      <c r="H763" s="56"/>
      <c r="I763" s="100"/>
      <c r="K763" s="100"/>
      <c r="L763" s="100"/>
      <c r="M763" s="100"/>
      <c r="N763" s="54"/>
      <c r="Q763" s="107"/>
      <c r="R763" s="107"/>
    </row>
    <row r="764" spans="1:18" s="49" customFormat="1" ht="12.75" x14ac:dyDescent="0.2">
      <c r="A764" s="53"/>
      <c r="D764" s="54"/>
      <c r="E764" s="55"/>
      <c r="F764" s="56"/>
      <c r="H764" s="56"/>
      <c r="I764" s="100"/>
      <c r="K764" s="100"/>
      <c r="L764" s="100"/>
      <c r="M764" s="100"/>
      <c r="N764" s="54"/>
      <c r="Q764" s="107"/>
      <c r="R764" s="107"/>
    </row>
    <row r="765" spans="1:18" s="49" customFormat="1" ht="12.75" x14ac:dyDescent="0.2">
      <c r="A765" s="53"/>
      <c r="D765" s="54"/>
      <c r="E765" s="55"/>
      <c r="F765" s="56"/>
      <c r="H765" s="56"/>
      <c r="I765" s="100"/>
      <c r="K765" s="100"/>
      <c r="L765" s="100"/>
      <c r="M765" s="100"/>
      <c r="N765" s="54"/>
      <c r="Q765" s="107"/>
      <c r="R765" s="107"/>
    </row>
    <row r="766" spans="1:18" s="49" customFormat="1" ht="12.75" x14ac:dyDescent="0.2">
      <c r="A766" s="53"/>
      <c r="D766" s="54"/>
      <c r="E766" s="55"/>
      <c r="F766" s="56"/>
      <c r="H766" s="56"/>
      <c r="I766" s="100"/>
      <c r="K766" s="100"/>
      <c r="L766" s="100"/>
      <c r="M766" s="100"/>
      <c r="N766" s="54"/>
      <c r="Q766" s="107"/>
      <c r="R766" s="107"/>
    </row>
    <row r="767" spans="1:18" s="49" customFormat="1" ht="12.75" x14ac:dyDescent="0.2">
      <c r="A767" s="53"/>
      <c r="D767" s="54"/>
      <c r="E767" s="55"/>
      <c r="F767" s="56"/>
      <c r="H767" s="56"/>
      <c r="I767" s="100"/>
      <c r="K767" s="100"/>
      <c r="L767" s="100"/>
      <c r="M767" s="100"/>
      <c r="N767" s="54"/>
      <c r="Q767" s="107"/>
      <c r="R767" s="107"/>
    </row>
    <row r="768" spans="1:18" s="49" customFormat="1" ht="12.75" x14ac:dyDescent="0.2">
      <c r="A768" s="53"/>
      <c r="D768" s="54"/>
      <c r="E768" s="55"/>
      <c r="F768" s="56"/>
      <c r="H768" s="56"/>
      <c r="I768" s="100"/>
      <c r="K768" s="100"/>
      <c r="L768" s="100"/>
      <c r="M768" s="100"/>
      <c r="N768" s="54"/>
      <c r="Q768" s="107"/>
      <c r="R768" s="107"/>
    </row>
    <row r="769" spans="1:18" s="49" customFormat="1" ht="12.75" x14ac:dyDescent="0.2">
      <c r="A769" s="53"/>
      <c r="D769" s="54"/>
      <c r="E769" s="55"/>
      <c r="F769" s="56"/>
      <c r="H769" s="56"/>
      <c r="I769" s="100"/>
      <c r="K769" s="100"/>
      <c r="L769" s="100"/>
      <c r="M769" s="100"/>
      <c r="N769" s="54"/>
      <c r="Q769" s="107"/>
      <c r="R769" s="107"/>
    </row>
    <row r="770" spans="1:18" s="49" customFormat="1" ht="12.75" x14ac:dyDescent="0.2">
      <c r="A770" s="53"/>
      <c r="D770" s="54"/>
      <c r="E770" s="55"/>
      <c r="F770" s="56"/>
      <c r="H770" s="56"/>
      <c r="I770" s="100"/>
      <c r="K770" s="100"/>
      <c r="L770" s="100"/>
      <c r="M770" s="100"/>
      <c r="N770" s="54"/>
      <c r="Q770" s="107"/>
      <c r="R770" s="107"/>
    </row>
    <row r="771" spans="1:18" s="49" customFormat="1" ht="12.75" x14ac:dyDescent="0.2">
      <c r="A771" s="53"/>
      <c r="D771" s="54"/>
      <c r="E771" s="55"/>
      <c r="F771" s="56"/>
      <c r="H771" s="56"/>
      <c r="I771" s="100"/>
      <c r="K771" s="100"/>
      <c r="L771" s="100"/>
      <c r="M771" s="100"/>
      <c r="N771" s="54"/>
      <c r="Q771" s="107"/>
      <c r="R771" s="107"/>
    </row>
    <row r="772" spans="1:18" s="49" customFormat="1" ht="12.75" x14ac:dyDescent="0.2">
      <c r="A772" s="53"/>
      <c r="D772" s="54"/>
      <c r="E772" s="55"/>
      <c r="F772" s="56"/>
      <c r="H772" s="56"/>
      <c r="I772" s="100"/>
      <c r="K772" s="100"/>
      <c r="L772" s="100"/>
      <c r="M772" s="100"/>
      <c r="N772" s="54"/>
      <c r="Q772" s="107"/>
      <c r="R772" s="107"/>
    </row>
    <row r="773" spans="1:18" s="49" customFormat="1" ht="12.75" x14ac:dyDescent="0.2">
      <c r="A773" s="53"/>
      <c r="D773" s="54"/>
      <c r="E773" s="55"/>
      <c r="F773" s="56"/>
      <c r="H773" s="56"/>
      <c r="I773" s="100"/>
      <c r="K773" s="100"/>
      <c r="L773" s="100"/>
      <c r="M773" s="100"/>
      <c r="N773" s="54"/>
      <c r="Q773" s="107"/>
      <c r="R773" s="107"/>
    </row>
    <row r="774" spans="1:18" s="49" customFormat="1" ht="12.75" x14ac:dyDescent="0.2">
      <c r="A774" s="53"/>
      <c r="D774" s="54"/>
      <c r="E774" s="55"/>
      <c r="F774" s="56"/>
      <c r="H774" s="56"/>
      <c r="I774" s="100"/>
      <c r="K774" s="100"/>
      <c r="L774" s="100"/>
      <c r="M774" s="100"/>
      <c r="N774" s="54"/>
      <c r="Q774" s="107"/>
      <c r="R774" s="107"/>
    </row>
    <row r="775" spans="1:18" s="49" customFormat="1" ht="12.75" x14ac:dyDescent="0.2">
      <c r="A775" s="53"/>
      <c r="D775" s="54"/>
      <c r="E775" s="55"/>
      <c r="F775" s="56"/>
      <c r="H775" s="56"/>
      <c r="I775" s="100"/>
      <c r="K775" s="100"/>
      <c r="L775" s="100"/>
      <c r="M775" s="100"/>
      <c r="N775" s="54"/>
      <c r="Q775" s="107"/>
      <c r="R775" s="107"/>
    </row>
    <row r="776" spans="1:18" s="49" customFormat="1" ht="12.75" x14ac:dyDescent="0.2">
      <c r="A776" s="53"/>
      <c r="D776" s="54"/>
      <c r="E776" s="55"/>
      <c r="F776" s="56"/>
      <c r="H776" s="56"/>
      <c r="I776" s="100"/>
      <c r="K776" s="100"/>
      <c r="L776" s="100"/>
      <c r="M776" s="100"/>
      <c r="N776" s="54"/>
      <c r="Q776" s="107"/>
      <c r="R776" s="107"/>
    </row>
    <row r="777" spans="1:18" s="49" customFormat="1" ht="12.75" x14ac:dyDescent="0.2">
      <c r="A777" s="53"/>
      <c r="D777" s="54"/>
      <c r="E777" s="55"/>
      <c r="F777" s="56"/>
      <c r="H777" s="56"/>
      <c r="I777" s="100"/>
      <c r="K777" s="100"/>
      <c r="L777" s="100"/>
      <c r="M777" s="100"/>
      <c r="N777" s="54"/>
      <c r="Q777" s="107"/>
      <c r="R777" s="107"/>
    </row>
    <row r="778" spans="1:18" s="49" customFormat="1" ht="12.75" x14ac:dyDescent="0.2">
      <c r="A778" s="53"/>
      <c r="D778" s="54"/>
      <c r="E778" s="55"/>
      <c r="F778" s="56"/>
      <c r="H778" s="56"/>
      <c r="I778" s="100"/>
      <c r="K778" s="100"/>
      <c r="L778" s="100"/>
      <c r="M778" s="100"/>
      <c r="N778" s="54"/>
      <c r="Q778" s="107"/>
      <c r="R778" s="107"/>
    </row>
    <row r="779" spans="1:18" s="49" customFormat="1" ht="12.75" x14ac:dyDescent="0.2">
      <c r="A779" s="53"/>
      <c r="D779" s="54"/>
      <c r="E779" s="55"/>
      <c r="F779" s="56"/>
      <c r="H779" s="56"/>
      <c r="I779" s="100"/>
      <c r="K779" s="100"/>
      <c r="L779" s="100"/>
      <c r="M779" s="100"/>
      <c r="N779" s="54"/>
      <c r="Q779" s="107"/>
      <c r="R779" s="107"/>
    </row>
    <row r="780" spans="1:18" s="49" customFormat="1" ht="12.75" x14ac:dyDescent="0.2">
      <c r="A780" s="53"/>
      <c r="D780" s="54"/>
      <c r="E780" s="55"/>
      <c r="F780" s="56"/>
      <c r="H780" s="56"/>
      <c r="I780" s="100"/>
      <c r="K780" s="100"/>
      <c r="L780" s="100"/>
      <c r="M780" s="100"/>
      <c r="N780" s="54"/>
      <c r="Q780" s="107"/>
      <c r="R780" s="107"/>
    </row>
    <row r="781" spans="1:18" s="49" customFormat="1" ht="12.75" x14ac:dyDescent="0.2">
      <c r="A781" s="53"/>
      <c r="D781" s="54"/>
      <c r="E781" s="55"/>
      <c r="F781" s="56"/>
      <c r="H781" s="56"/>
      <c r="I781" s="100"/>
      <c r="K781" s="100"/>
      <c r="L781" s="100"/>
      <c r="M781" s="100"/>
      <c r="N781" s="54"/>
      <c r="Q781" s="107"/>
      <c r="R781" s="107"/>
    </row>
    <row r="782" spans="1:18" s="49" customFormat="1" ht="12.75" x14ac:dyDescent="0.2">
      <c r="A782" s="53"/>
      <c r="D782" s="54"/>
      <c r="E782" s="55"/>
      <c r="F782" s="56"/>
      <c r="H782" s="56"/>
      <c r="I782" s="100"/>
      <c r="K782" s="100"/>
      <c r="L782" s="100"/>
      <c r="M782" s="100"/>
      <c r="N782" s="54"/>
      <c r="Q782" s="107"/>
      <c r="R782" s="107"/>
    </row>
    <row r="783" spans="1:18" s="49" customFormat="1" ht="12.75" x14ac:dyDescent="0.2">
      <c r="A783" s="53"/>
      <c r="D783" s="54"/>
      <c r="E783" s="55"/>
      <c r="F783" s="56"/>
      <c r="H783" s="56"/>
      <c r="I783" s="100"/>
      <c r="K783" s="100"/>
      <c r="L783" s="100"/>
      <c r="M783" s="100"/>
      <c r="N783" s="54"/>
      <c r="Q783" s="107"/>
      <c r="R783" s="107"/>
    </row>
    <row r="784" spans="1:18" s="49" customFormat="1" ht="12.75" x14ac:dyDescent="0.2">
      <c r="A784" s="53"/>
      <c r="D784" s="54"/>
      <c r="E784" s="55"/>
      <c r="F784" s="56"/>
      <c r="H784" s="56"/>
      <c r="I784" s="100"/>
      <c r="K784" s="100"/>
      <c r="L784" s="100"/>
      <c r="M784" s="100"/>
      <c r="N784" s="54"/>
      <c r="Q784" s="107"/>
      <c r="R784" s="107"/>
    </row>
    <row r="785" spans="1:18" s="49" customFormat="1" ht="12.75" x14ac:dyDescent="0.2">
      <c r="A785" s="53"/>
      <c r="D785" s="54"/>
      <c r="E785" s="55"/>
      <c r="F785" s="56"/>
      <c r="H785" s="56"/>
      <c r="I785" s="100"/>
      <c r="K785" s="100"/>
      <c r="L785" s="100"/>
      <c r="M785" s="100"/>
      <c r="N785" s="54"/>
      <c r="Q785" s="107"/>
      <c r="R785" s="107"/>
    </row>
    <row r="786" spans="1:18" s="49" customFormat="1" ht="12.75" x14ac:dyDescent="0.2">
      <c r="A786" s="53"/>
      <c r="D786" s="54"/>
      <c r="E786" s="55"/>
      <c r="F786" s="56"/>
      <c r="H786" s="56"/>
      <c r="I786" s="100"/>
      <c r="K786" s="100"/>
      <c r="L786" s="100"/>
      <c r="M786" s="100"/>
      <c r="N786" s="54"/>
      <c r="Q786" s="107"/>
      <c r="R786" s="107"/>
    </row>
    <row r="787" spans="1:18" s="49" customFormat="1" ht="12.75" x14ac:dyDescent="0.2">
      <c r="A787" s="53"/>
      <c r="D787" s="54"/>
      <c r="E787" s="55"/>
      <c r="F787" s="56"/>
      <c r="H787" s="56"/>
      <c r="I787" s="100"/>
      <c r="K787" s="100"/>
      <c r="L787" s="100"/>
      <c r="M787" s="100"/>
      <c r="N787" s="54"/>
      <c r="Q787" s="107"/>
      <c r="R787" s="107"/>
    </row>
    <row r="788" spans="1:18" s="49" customFormat="1" ht="12.75" x14ac:dyDescent="0.2">
      <c r="A788" s="53"/>
      <c r="D788" s="54"/>
      <c r="E788" s="55"/>
      <c r="F788" s="56"/>
      <c r="H788" s="56"/>
      <c r="I788" s="100"/>
      <c r="K788" s="100"/>
      <c r="L788" s="100"/>
      <c r="M788" s="100"/>
      <c r="N788" s="54"/>
      <c r="Q788" s="107"/>
      <c r="R788" s="107"/>
    </row>
    <row r="789" spans="1:18" s="49" customFormat="1" ht="12.75" x14ac:dyDescent="0.2">
      <c r="A789" s="53"/>
      <c r="D789" s="54"/>
      <c r="E789" s="55"/>
      <c r="F789" s="56"/>
      <c r="H789" s="56"/>
      <c r="I789" s="100"/>
      <c r="K789" s="100"/>
      <c r="L789" s="100"/>
      <c r="M789" s="100"/>
      <c r="N789" s="54"/>
      <c r="Q789" s="107"/>
      <c r="R789" s="107"/>
    </row>
    <row r="790" spans="1:18" s="49" customFormat="1" ht="12.75" x14ac:dyDescent="0.2">
      <c r="A790" s="53"/>
      <c r="D790" s="54"/>
      <c r="E790" s="55"/>
      <c r="F790" s="56"/>
      <c r="H790" s="56"/>
      <c r="I790" s="100"/>
      <c r="K790" s="100"/>
      <c r="L790" s="100"/>
      <c r="M790" s="100"/>
      <c r="N790" s="54"/>
      <c r="Q790" s="107"/>
      <c r="R790" s="107"/>
    </row>
    <row r="791" spans="1:18" s="49" customFormat="1" ht="12.75" x14ac:dyDescent="0.2">
      <c r="A791" s="53"/>
      <c r="D791" s="54"/>
      <c r="E791" s="55"/>
      <c r="F791" s="56"/>
      <c r="H791" s="56"/>
      <c r="I791" s="100"/>
      <c r="K791" s="100"/>
      <c r="L791" s="100"/>
      <c r="M791" s="100"/>
      <c r="N791" s="54"/>
      <c r="Q791" s="107"/>
      <c r="R791" s="107"/>
    </row>
    <row r="792" spans="1:18" s="49" customFormat="1" ht="12.75" x14ac:dyDescent="0.2">
      <c r="A792" s="53"/>
      <c r="D792" s="54"/>
      <c r="E792" s="55"/>
      <c r="F792" s="56"/>
      <c r="H792" s="56"/>
      <c r="I792" s="100"/>
      <c r="K792" s="100"/>
      <c r="L792" s="100"/>
      <c r="M792" s="100"/>
      <c r="N792" s="54"/>
      <c r="Q792" s="107"/>
      <c r="R792" s="107"/>
    </row>
    <row r="793" spans="1:18" s="49" customFormat="1" ht="12.75" x14ac:dyDescent="0.2">
      <c r="A793" s="53"/>
      <c r="D793" s="54"/>
      <c r="E793" s="55"/>
      <c r="F793" s="56"/>
      <c r="H793" s="56"/>
      <c r="I793" s="100"/>
      <c r="K793" s="100"/>
      <c r="L793" s="100"/>
      <c r="M793" s="100"/>
      <c r="N793" s="54"/>
      <c r="Q793" s="107"/>
      <c r="R793" s="107"/>
    </row>
    <row r="794" spans="1:18" s="49" customFormat="1" ht="12.75" x14ac:dyDescent="0.2">
      <c r="A794" s="53"/>
      <c r="D794" s="54"/>
      <c r="E794" s="55"/>
      <c r="F794" s="56"/>
      <c r="H794" s="56"/>
      <c r="I794" s="100"/>
      <c r="K794" s="100"/>
      <c r="L794" s="100"/>
      <c r="M794" s="100"/>
      <c r="N794" s="54"/>
      <c r="Q794" s="107"/>
      <c r="R794" s="107"/>
    </row>
    <row r="795" spans="1:18" s="49" customFormat="1" ht="12.75" x14ac:dyDescent="0.2">
      <c r="A795" s="53"/>
      <c r="D795" s="54"/>
      <c r="E795" s="55"/>
      <c r="F795" s="56"/>
      <c r="H795" s="56"/>
      <c r="I795" s="100"/>
      <c r="K795" s="100"/>
      <c r="L795" s="100"/>
      <c r="M795" s="100"/>
      <c r="N795" s="54"/>
      <c r="Q795" s="107"/>
      <c r="R795" s="107"/>
    </row>
    <row r="796" spans="1:18" s="49" customFormat="1" ht="12.75" x14ac:dyDescent="0.2">
      <c r="A796" s="53"/>
      <c r="D796" s="54"/>
      <c r="E796" s="55"/>
      <c r="F796" s="56"/>
      <c r="H796" s="56"/>
      <c r="I796" s="100"/>
      <c r="K796" s="100"/>
      <c r="L796" s="100"/>
      <c r="M796" s="100"/>
      <c r="N796" s="54"/>
      <c r="Q796" s="107"/>
      <c r="R796" s="107"/>
    </row>
    <row r="797" spans="1:18" s="49" customFormat="1" ht="12.75" x14ac:dyDescent="0.2">
      <c r="A797" s="53"/>
      <c r="D797" s="54"/>
      <c r="E797" s="55"/>
      <c r="F797" s="56"/>
      <c r="H797" s="56"/>
      <c r="I797" s="100"/>
      <c r="K797" s="100"/>
      <c r="L797" s="100"/>
      <c r="M797" s="100"/>
      <c r="N797" s="54"/>
      <c r="Q797" s="107"/>
      <c r="R797" s="107"/>
    </row>
    <row r="798" spans="1:18" s="49" customFormat="1" ht="12.75" x14ac:dyDescent="0.2">
      <c r="A798" s="53"/>
      <c r="D798" s="54"/>
      <c r="E798" s="55"/>
      <c r="F798" s="56"/>
      <c r="H798" s="56"/>
      <c r="I798" s="100"/>
      <c r="K798" s="100"/>
      <c r="L798" s="100"/>
      <c r="M798" s="100"/>
      <c r="N798" s="54"/>
      <c r="Q798" s="107"/>
      <c r="R798" s="107"/>
    </row>
    <row r="799" spans="1:18" s="49" customFormat="1" ht="12.75" x14ac:dyDescent="0.2">
      <c r="A799" s="53"/>
      <c r="D799" s="54"/>
      <c r="E799" s="55"/>
      <c r="F799" s="56"/>
      <c r="H799" s="56"/>
      <c r="I799" s="100"/>
      <c r="K799" s="100"/>
      <c r="L799" s="100"/>
      <c r="M799" s="100"/>
      <c r="N799" s="54"/>
      <c r="Q799" s="107"/>
      <c r="R799" s="107"/>
    </row>
    <row r="800" spans="1:18" s="49" customFormat="1" ht="12.75" x14ac:dyDescent="0.2">
      <c r="A800" s="53"/>
      <c r="D800" s="54"/>
      <c r="E800" s="55"/>
      <c r="F800" s="56"/>
      <c r="H800" s="56"/>
      <c r="I800" s="100"/>
      <c r="K800" s="100"/>
      <c r="L800" s="100"/>
      <c r="M800" s="100"/>
      <c r="N800" s="54"/>
      <c r="Q800" s="107"/>
      <c r="R800" s="107"/>
    </row>
    <row r="801" spans="1:18" s="49" customFormat="1" ht="12.75" x14ac:dyDescent="0.2">
      <c r="A801" s="53"/>
      <c r="D801" s="54"/>
      <c r="E801" s="55"/>
      <c r="F801" s="56"/>
      <c r="H801" s="56"/>
      <c r="I801" s="100"/>
      <c r="K801" s="100"/>
      <c r="L801" s="100"/>
      <c r="M801" s="100"/>
      <c r="N801" s="54"/>
      <c r="Q801" s="107"/>
      <c r="R801" s="107"/>
    </row>
    <row r="802" spans="1:18" s="49" customFormat="1" ht="12.75" x14ac:dyDescent="0.2">
      <c r="A802" s="53"/>
      <c r="D802" s="54"/>
      <c r="E802" s="55"/>
      <c r="F802" s="56"/>
      <c r="H802" s="56"/>
      <c r="I802" s="100"/>
      <c r="K802" s="100"/>
      <c r="L802" s="100"/>
      <c r="M802" s="100"/>
      <c r="N802" s="54"/>
      <c r="Q802" s="107"/>
      <c r="R802" s="107"/>
    </row>
    <row r="803" spans="1:18" s="49" customFormat="1" ht="12.75" x14ac:dyDescent="0.2">
      <c r="A803" s="53"/>
      <c r="D803" s="54"/>
      <c r="E803" s="55"/>
      <c r="F803" s="56"/>
      <c r="H803" s="56"/>
      <c r="I803" s="100"/>
      <c r="K803" s="100"/>
      <c r="L803" s="100"/>
      <c r="M803" s="100"/>
      <c r="N803" s="54"/>
      <c r="Q803" s="107"/>
      <c r="R803" s="107"/>
    </row>
    <row r="804" spans="1:18" s="49" customFormat="1" ht="12.75" x14ac:dyDescent="0.2">
      <c r="A804" s="53"/>
      <c r="D804" s="54"/>
      <c r="E804" s="55"/>
      <c r="F804" s="56"/>
      <c r="H804" s="56"/>
      <c r="I804" s="100"/>
      <c r="K804" s="100"/>
      <c r="L804" s="100"/>
      <c r="M804" s="100"/>
      <c r="N804" s="54"/>
      <c r="Q804" s="107"/>
      <c r="R804" s="107"/>
    </row>
    <row r="805" spans="1:18" s="49" customFormat="1" ht="12.75" x14ac:dyDescent="0.2">
      <c r="A805" s="53"/>
      <c r="D805" s="54"/>
      <c r="E805" s="55"/>
      <c r="F805" s="56"/>
      <c r="H805" s="56"/>
      <c r="I805" s="100"/>
      <c r="K805" s="100"/>
      <c r="L805" s="100"/>
      <c r="M805" s="100"/>
      <c r="N805" s="54"/>
      <c r="Q805" s="107"/>
      <c r="R805" s="107"/>
    </row>
    <row r="806" spans="1:18" s="49" customFormat="1" ht="12.75" x14ac:dyDescent="0.2">
      <c r="A806" s="53"/>
      <c r="D806" s="54"/>
      <c r="E806" s="55"/>
      <c r="F806" s="56"/>
      <c r="H806" s="56"/>
      <c r="I806" s="100"/>
      <c r="K806" s="100"/>
      <c r="L806" s="100"/>
      <c r="M806" s="100"/>
      <c r="N806" s="54"/>
      <c r="Q806" s="107"/>
      <c r="R806" s="107"/>
    </row>
    <row r="807" spans="1:18" s="49" customFormat="1" ht="12.75" x14ac:dyDescent="0.2">
      <c r="A807" s="53"/>
      <c r="D807" s="54"/>
      <c r="E807" s="55"/>
      <c r="F807" s="56"/>
      <c r="H807" s="56"/>
      <c r="I807" s="100"/>
      <c r="K807" s="100"/>
      <c r="L807" s="100"/>
      <c r="M807" s="100"/>
      <c r="N807" s="54"/>
      <c r="Q807" s="107"/>
      <c r="R807" s="107"/>
    </row>
    <row r="808" spans="1:18" s="49" customFormat="1" ht="12.75" x14ac:dyDescent="0.2">
      <c r="A808" s="53"/>
      <c r="D808" s="54"/>
      <c r="E808" s="55"/>
      <c r="F808" s="56"/>
      <c r="H808" s="56"/>
      <c r="I808" s="100"/>
      <c r="K808" s="100"/>
      <c r="L808" s="100"/>
      <c r="M808" s="100"/>
      <c r="N808" s="54"/>
      <c r="Q808" s="107"/>
      <c r="R808" s="107"/>
    </row>
    <row r="809" spans="1:18" s="49" customFormat="1" ht="12.75" x14ac:dyDescent="0.2">
      <c r="A809" s="53"/>
      <c r="D809" s="54"/>
      <c r="E809" s="55"/>
      <c r="F809" s="56"/>
      <c r="H809" s="56"/>
      <c r="I809" s="100"/>
      <c r="K809" s="100"/>
      <c r="L809" s="100"/>
      <c r="M809" s="100"/>
      <c r="N809" s="54"/>
      <c r="Q809" s="107"/>
      <c r="R809" s="107"/>
    </row>
    <row r="810" spans="1:18" s="49" customFormat="1" ht="12.75" x14ac:dyDescent="0.2">
      <c r="A810" s="53"/>
      <c r="D810" s="54"/>
      <c r="E810" s="55"/>
      <c r="F810" s="56"/>
      <c r="H810" s="56"/>
      <c r="I810" s="100"/>
      <c r="K810" s="100"/>
      <c r="L810" s="100"/>
      <c r="M810" s="100"/>
      <c r="N810" s="54"/>
      <c r="Q810" s="107"/>
      <c r="R810" s="107"/>
    </row>
    <row r="811" spans="1:18" s="49" customFormat="1" ht="12.75" x14ac:dyDescent="0.2">
      <c r="A811" s="53"/>
      <c r="D811" s="54"/>
      <c r="E811" s="55"/>
      <c r="F811" s="56"/>
      <c r="H811" s="56"/>
      <c r="I811" s="100"/>
      <c r="K811" s="100"/>
      <c r="L811" s="100"/>
      <c r="M811" s="100"/>
      <c r="N811" s="54"/>
      <c r="Q811" s="107"/>
      <c r="R811" s="107"/>
    </row>
    <row r="812" spans="1:18" s="49" customFormat="1" ht="12.75" x14ac:dyDescent="0.2">
      <c r="A812" s="53"/>
      <c r="D812" s="54"/>
      <c r="E812" s="55"/>
      <c r="F812" s="56"/>
      <c r="H812" s="56"/>
      <c r="I812" s="100"/>
      <c r="K812" s="100"/>
      <c r="L812" s="100"/>
      <c r="M812" s="100"/>
      <c r="N812" s="54"/>
      <c r="Q812" s="107"/>
      <c r="R812" s="107"/>
    </row>
    <row r="813" spans="1:18" s="49" customFormat="1" ht="12.75" x14ac:dyDescent="0.2">
      <c r="A813" s="53"/>
      <c r="D813" s="54"/>
      <c r="E813" s="55"/>
      <c r="F813" s="56"/>
      <c r="H813" s="56"/>
      <c r="I813" s="100"/>
      <c r="K813" s="100"/>
      <c r="L813" s="100"/>
      <c r="M813" s="100"/>
      <c r="N813" s="54"/>
      <c r="Q813" s="107"/>
      <c r="R813" s="107"/>
    </row>
    <row r="814" spans="1:18" s="49" customFormat="1" ht="12.75" x14ac:dyDescent="0.2">
      <c r="A814" s="53"/>
      <c r="D814" s="54"/>
      <c r="E814" s="55"/>
      <c r="F814" s="56"/>
      <c r="H814" s="56"/>
      <c r="I814" s="100"/>
      <c r="K814" s="100"/>
      <c r="L814" s="100"/>
      <c r="M814" s="100"/>
      <c r="N814" s="54"/>
      <c r="Q814" s="107"/>
      <c r="R814" s="107"/>
    </row>
    <row r="815" spans="1:18" s="49" customFormat="1" ht="12.75" x14ac:dyDescent="0.2">
      <c r="A815" s="53"/>
      <c r="D815" s="54"/>
      <c r="E815" s="55"/>
      <c r="F815" s="56"/>
      <c r="H815" s="56"/>
      <c r="I815" s="100"/>
      <c r="K815" s="100"/>
      <c r="L815" s="100"/>
      <c r="M815" s="100"/>
      <c r="N815" s="54"/>
      <c r="Q815" s="107"/>
      <c r="R815" s="107"/>
    </row>
    <row r="816" spans="1:18" s="49" customFormat="1" ht="12.75" x14ac:dyDescent="0.2">
      <c r="A816" s="53"/>
      <c r="D816" s="54"/>
      <c r="E816" s="55"/>
      <c r="F816" s="56"/>
      <c r="H816" s="56"/>
      <c r="I816" s="100"/>
      <c r="K816" s="100"/>
      <c r="L816" s="100"/>
      <c r="M816" s="100"/>
      <c r="N816" s="54"/>
      <c r="Q816" s="107"/>
      <c r="R816" s="107"/>
    </row>
    <row r="817" spans="1:18" s="49" customFormat="1" ht="12.75" x14ac:dyDescent="0.2">
      <c r="A817" s="53"/>
      <c r="D817" s="54"/>
      <c r="E817" s="55"/>
      <c r="F817" s="56"/>
      <c r="H817" s="56"/>
      <c r="I817" s="100"/>
      <c r="K817" s="100"/>
      <c r="L817" s="100"/>
      <c r="M817" s="100"/>
      <c r="N817" s="54"/>
      <c r="Q817" s="107"/>
      <c r="R817" s="107"/>
    </row>
    <row r="818" spans="1:18" s="49" customFormat="1" ht="12.75" x14ac:dyDescent="0.2">
      <c r="A818" s="53"/>
      <c r="D818" s="54"/>
      <c r="E818" s="55"/>
      <c r="F818" s="56"/>
      <c r="H818" s="56"/>
      <c r="I818" s="100"/>
      <c r="K818" s="100"/>
      <c r="L818" s="100"/>
      <c r="M818" s="100"/>
      <c r="N818" s="54"/>
      <c r="Q818" s="107"/>
      <c r="R818" s="107"/>
    </row>
    <row r="819" spans="1:18" s="49" customFormat="1" ht="12.75" x14ac:dyDescent="0.2">
      <c r="A819" s="53"/>
      <c r="D819" s="54"/>
      <c r="E819" s="55"/>
      <c r="F819" s="56"/>
      <c r="H819" s="56"/>
      <c r="I819" s="100"/>
      <c r="K819" s="100"/>
      <c r="L819" s="100"/>
      <c r="M819" s="100"/>
      <c r="N819" s="54"/>
      <c r="Q819" s="107"/>
      <c r="R819" s="107"/>
    </row>
    <row r="820" spans="1:18" s="49" customFormat="1" ht="12.75" x14ac:dyDescent="0.2">
      <c r="A820" s="53"/>
      <c r="D820" s="54"/>
      <c r="E820" s="55"/>
      <c r="F820" s="56"/>
      <c r="H820" s="56"/>
      <c r="I820" s="100"/>
      <c r="K820" s="100"/>
      <c r="L820" s="100"/>
      <c r="M820" s="100"/>
      <c r="N820" s="54"/>
      <c r="Q820" s="107"/>
      <c r="R820" s="107"/>
    </row>
    <row r="821" spans="1:18" s="49" customFormat="1" ht="12.75" x14ac:dyDescent="0.2">
      <c r="A821" s="53"/>
      <c r="D821" s="54"/>
      <c r="E821" s="55"/>
      <c r="F821" s="56"/>
      <c r="H821" s="56"/>
      <c r="I821" s="100"/>
      <c r="K821" s="100"/>
      <c r="L821" s="100"/>
      <c r="M821" s="100"/>
      <c r="N821" s="54"/>
      <c r="Q821" s="107"/>
      <c r="R821" s="107"/>
    </row>
    <row r="822" spans="1:18" s="49" customFormat="1" ht="12.75" x14ac:dyDescent="0.2">
      <c r="A822" s="53"/>
      <c r="D822" s="54"/>
      <c r="E822" s="55"/>
      <c r="F822" s="56"/>
      <c r="H822" s="56"/>
      <c r="I822" s="100"/>
      <c r="K822" s="100"/>
      <c r="L822" s="100"/>
      <c r="M822" s="100"/>
      <c r="N822" s="54"/>
      <c r="Q822" s="107"/>
      <c r="R822" s="107"/>
    </row>
    <row r="823" spans="1:18" s="49" customFormat="1" ht="12.75" x14ac:dyDescent="0.2">
      <c r="A823" s="53"/>
      <c r="D823" s="54"/>
      <c r="E823" s="55"/>
      <c r="F823" s="56"/>
      <c r="H823" s="56"/>
      <c r="I823" s="100"/>
      <c r="K823" s="100"/>
      <c r="L823" s="100"/>
      <c r="M823" s="100"/>
      <c r="N823" s="54"/>
      <c r="Q823" s="107"/>
      <c r="R823" s="107"/>
    </row>
    <row r="824" spans="1:18" s="49" customFormat="1" ht="12.75" x14ac:dyDescent="0.2">
      <c r="A824" s="53"/>
      <c r="D824" s="54"/>
      <c r="E824" s="55"/>
      <c r="F824" s="56"/>
      <c r="H824" s="56"/>
      <c r="I824" s="100"/>
      <c r="K824" s="100"/>
      <c r="L824" s="100"/>
      <c r="M824" s="100"/>
      <c r="N824" s="54"/>
      <c r="Q824" s="107"/>
      <c r="R824" s="107"/>
    </row>
    <row r="825" spans="1:18" s="49" customFormat="1" ht="12.75" x14ac:dyDescent="0.2">
      <c r="A825" s="53"/>
      <c r="D825" s="54"/>
      <c r="E825" s="55"/>
      <c r="F825" s="56"/>
      <c r="H825" s="56"/>
      <c r="I825" s="100"/>
      <c r="K825" s="100"/>
      <c r="L825" s="100"/>
      <c r="M825" s="100"/>
      <c r="N825" s="54"/>
      <c r="Q825" s="107"/>
      <c r="R825" s="107"/>
    </row>
    <row r="826" spans="1:18" s="49" customFormat="1" ht="12.75" x14ac:dyDescent="0.2">
      <c r="A826" s="53"/>
      <c r="D826" s="54"/>
      <c r="E826" s="55"/>
      <c r="F826" s="56"/>
      <c r="H826" s="56"/>
      <c r="I826" s="100"/>
      <c r="K826" s="100"/>
      <c r="L826" s="100"/>
      <c r="M826" s="100"/>
      <c r="N826" s="54"/>
      <c r="Q826" s="107"/>
      <c r="R826" s="107"/>
    </row>
    <row r="827" spans="1:18" s="49" customFormat="1" ht="12.75" x14ac:dyDescent="0.2">
      <c r="A827" s="53"/>
      <c r="D827" s="54"/>
      <c r="E827" s="55"/>
      <c r="F827" s="56"/>
      <c r="H827" s="56"/>
      <c r="I827" s="100"/>
      <c r="K827" s="100"/>
      <c r="L827" s="100"/>
      <c r="M827" s="100"/>
      <c r="N827" s="54"/>
      <c r="Q827" s="107"/>
      <c r="R827" s="107"/>
    </row>
    <row r="828" spans="1:18" s="49" customFormat="1" ht="12.75" x14ac:dyDescent="0.2">
      <c r="A828" s="53"/>
      <c r="D828" s="54"/>
      <c r="E828" s="55"/>
      <c r="F828" s="56"/>
      <c r="H828" s="56"/>
      <c r="I828" s="100"/>
      <c r="K828" s="100"/>
      <c r="L828" s="100"/>
      <c r="M828" s="100"/>
      <c r="N828" s="54"/>
      <c r="Q828" s="107"/>
      <c r="R828" s="107"/>
    </row>
    <row r="829" spans="1:18" s="49" customFormat="1" ht="12.75" x14ac:dyDescent="0.2">
      <c r="A829" s="53"/>
      <c r="D829" s="54"/>
      <c r="E829" s="55"/>
      <c r="F829" s="56"/>
      <c r="H829" s="56"/>
      <c r="I829" s="100"/>
      <c r="K829" s="100"/>
      <c r="L829" s="100"/>
      <c r="M829" s="100"/>
      <c r="N829" s="54"/>
      <c r="Q829" s="107"/>
      <c r="R829" s="107"/>
    </row>
    <row r="830" spans="1:18" s="49" customFormat="1" ht="12.75" x14ac:dyDescent="0.2">
      <c r="A830" s="53"/>
      <c r="D830" s="54"/>
      <c r="E830" s="55"/>
      <c r="F830" s="56"/>
      <c r="H830" s="56"/>
      <c r="I830" s="100"/>
      <c r="K830" s="100"/>
      <c r="L830" s="100"/>
      <c r="M830" s="100"/>
      <c r="N830" s="54"/>
      <c r="Q830" s="107"/>
      <c r="R830" s="107"/>
    </row>
    <row r="831" spans="1:18" s="49" customFormat="1" ht="12.75" x14ac:dyDescent="0.2">
      <c r="A831" s="53"/>
      <c r="D831" s="54"/>
      <c r="E831" s="55"/>
      <c r="F831" s="56"/>
      <c r="H831" s="56"/>
      <c r="I831" s="100"/>
      <c r="K831" s="100"/>
      <c r="L831" s="100"/>
      <c r="M831" s="100"/>
      <c r="N831" s="54"/>
      <c r="Q831" s="107"/>
      <c r="R831" s="107"/>
    </row>
    <row r="832" spans="1:18" s="49" customFormat="1" ht="12.75" x14ac:dyDescent="0.2">
      <c r="A832" s="53"/>
      <c r="D832" s="54"/>
      <c r="E832" s="55"/>
      <c r="F832" s="56"/>
      <c r="H832" s="56"/>
      <c r="I832" s="100"/>
      <c r="K832" s="100"/>
      <c r="L832" s="100"/>
      <c r="M832" s="100"/>
      <c r="N832" s="54"/>
      <c r="Q832" s="107"/>
      <c r="R832" s="107"/>
    </row>
    <row r="833" spans="1:18" s="49" customFormat="1" ht="12.75" x14ac:dyDescent="0.2">
      <c r="A833" s="53"/>
      <c r="D833" s="54"/>
      <c r="E833" s="55"/>
      <c r="F833" s="56"/>
      <c r="H833" s="56"/>
      <c r="I833" s="100"/>
      <c r="K833" s="100"/>
      <c r="L833" s="100"/>
      <c r="M833" s="100"/>
      <c r="N833" s="54"/>
      <c r="Q833" s="107"/>
      <c r="R833" s="107"/>
    </row>
    <row r="834" spans="1:18" s="49" customFormat="1" ht="12.75" x14ac:dyDescent="0.2">
      <c r="A834" s="53"/>
      <c r="D834" s="54"/>
      <c r="E834" s="55"/>
      <c r="F834" s="56"/>
      <c r="H834" s="56"/>
      <c r="I834" s="100"/>
      <c r="K834" s="100"/>
      <c r="L834" s="100"/>
      <c r="M834" s="100"/>
      <c r="N834" s="54"/>
      <c r="Q834" s="107"/>
      <c r="R834" s="107"/>
    </row>
    <row r="835" spans="1:18" s="49" customFormat="1" ht="12.75" x14ac:dyDescent="0.2">
      <c r="A835" s="53"/>
      <c r="D835" s="54"/>
      <c r="E835" s="55"/>
      <c r="F835" s="56"/>
      <c r="H835" s="56"/>
      <c r="I835" s="100"/>
      <c r="K835" s="100"/>
      <c r="L835" s="100"/>
      <c r="M835" s="100"/>
      <c r="N835" s="54"/>
      <c r="Q835" s="107"/>
      <c r="R835" s="107"/>
    </row>
    <row r="836" spans="1:18" s="49" customFormat="1" ht="12.75" x14ac:dyDescent="0.2">
      <c r="A836" s="53"/>
      <c r="D836" s="54"/>
      <c r="E836" s="55"/>
      <c r="F836" s="56"/>
      <c r="H836" s="56"/>
      <c r="I836" s="100"/>
      <c r="K836" s="100"/>
      <c r="L836" s="100"/>
      <c r="M836" s="100"/>
      <c r="N836" s="54"/>
      <c r="Q836" s="107"/>
      <c r="R836" s="107"/>
    </row>
    <row r="837" spans="1:18" s="49" customFormat="1" ht="12.75" x14ac:dyDescent="0.2">
      <c r="A837" s="53"/>
      <c r="D837" s="54"/>
      <c r="E837" s="55"/>
      <c r="F837" s="56"/>
      <c r="H837" s="56"/>
      <c r="I837" s="100"/>
      <c r="K837" s="100"/>
      <c r="L837" s="100"/>
      <c r="M837" s="100"/>
      <c r="N837" s="54"/>
      <c r="Q837" s="107"/>
      <c r="R837" s="107"/>
    </row>
    <row r="838" spans="1:18" s="49" customFormat="1" ht="12.75" x14ac:dyDescent="0.2">
      <c r="A838" s="53"/>
      <c r="D838" s="54"/>
      <c r="E838" s="55"/>
      <c r="F838" s="56"/>
      <c r="H838" s="56"/>
      <c r="I838" s="100"/>
      <c r="K838" s="100"/>
      <c r="L838" s="100"/>
      <c r="M838" s="100"/>
      <c r="N838" s="54"/>
      <c r="Q838" s="107"/>
      <c r="R838" s="107"/>
    </row>
    <row r="839" spans="1:18" s="49" customFormat="1" ht="12.75" x14ac:dyDescent="0.2">
      <c r="A839" s="53"/>
      <c r="D839" s="54"/>
      <c r="E839" s="55"/>
      <c r="F839" s="56"/>
      <c r="H839" s="56"/>
      <c r="I839" s="100"/>
      <c r="K839" s="100"/>
      <c r="L839" s="100"/>
      <c r="M839" s="100"/>
      <c r="N839" s="54"/>
      <c r="Q839" s="107"/>
      <c r="R839" s="107"/>
    </row>
    <row r="840" spans="1:18" s="49" customFormat="1" ht="12.75" x14ac:dyDescent="0.2">
      <c r="A840" s="53"/>
      <c r="D840" s="54"/>
      <c r="E840" s="55"/>
      <c r="F840" s="56"/>
      <c r="H840" s="56"/>
      <c r="I840" s="100"/>
      <c r="K840" s="100"/>
      <c r="L840" s="100"/>
      <c r="M840" s="100"/>
      <c r="N840" s="54"/>
      <c r="Q840" s="107"/>
      <c r="R840" s="107"/>
    </row>
    <row r="841" spans="1:18" s="49" customFormat="1" ht="12.75" x14ac:dyDescent="0.2">
      <c r="A841" s="53"/>
      <c r="D841" s="54"/>
      <c r="E841" s="55"/>
      <c r="F841" s="56"/>
      <c r="H841" s="56"/>
      <c r="I841" s="100"/>
      <c r="K841" s="100"/>
      <c r="L841" s="100"/>
      <c r="M841" s="100"/>
      <c r="N841" s="54"/>
      <c r="Q841" s="107"/>
      <c r="R841" s="107"/>
    </row>
    <row r="842" spans="1:18" s="49" customFormat="1" ht="12.75" x14ac:dyDescent="0.2">
      <c r="A842" s="53"/>
      <c r="D842" s="54"/>
      <c r="E842" s="55"/>
      <c r="F842" s="56"/>
      <c r="H842" s="56"/>
      <c r="I842" s="100"/>
      <c r="K842" s="100"/>
      <c r="L842" s="100"/>
      <c r="M842" s="100"/>
      <c r="N842" s="54"/>
      <c r="Q842" s="107"/>
      <c r="R842" s="107"/>
    </row>
    <row r="843" spans="1:18" s="49" customFormat="1" ht="12.75" x14ac:dyDescent="0.2">
      <c r="A843" s="53"/>
      <c r="D843" s="54"/>
      <c r="E843" s="55"/>
      <c r="F843" s="56"/>
      <c r="H843" s="56"/>
      <c r="I843" s="100"/>
      <c r="K843" s="100"/>
      <c r="L843" s="100"/>
      <c r="M843" s="100"/>
      <c r="N843" s="54"/>
      <c r="Q843" s="107"/>
      <c r="R843" s="107"/>
    </row>
    <row r="844" spans="1:18" s="49" customFormat="1" ht="12.75" x14ac:dyDescent="0.2">
      <c r="A844" s="53"/>
      <c r="D844" s="54"/>
      <c r="E844" s="55"/>
      <c r="F844" s="56"/>
      <c r="H844" s="56"/>
      <c r="I844" s="100"/>
      <c r="K844" s="100"/>
      <c r="L844" s="100"/>
      <c r="M844" s="100"/>
      <c r="N844" s="54"/>
      <c r="Q844" s="107"/>
      <c r="R844" s="107"/>
    </row>
    <row r="845" spans="1:18" s="49" customFormat="1" ht="12.75" x14ac:dyDescent="0.2">
      <c r="A845" s="53"/>
      <c r="D845" s="54"/>
      <c r="E845" s="55"/>
      <c r="F845" s="56"/>
      <c r="H845" s="56"/>
      <c r="I845" s="100"/>
      <c r="K845" s="100"/>
      <c r="L845" s="100"/>
      <c r="M845" s="100"/>
      <c r="N845" s="54"/>
      <c r="Q845" s="107"/>
      <c r="R845" s="107"/>
    </row>
    <row r="846" spans="1:18" s="49" customFormat="1" ht="12.75" x14ac:dyDescent="0.2">
      <c r="A846" s="53"/>
      <c r="D846" s="54"/>
      <c r="E846" s="55"/>
      <c r="F846" s="56"/>
      <c r="H846" s="56"/>
      <c r="I846" s="100"/>
      <c r="K846" s="100"/>
      <c r="L846" s="100"/>
      <c r="M846" s="100"/>
      <c r="N846" s="54"/>
      <c r="Q846" s="107"/>
      <c r="R846" s="107"/>
    </row>
    <row r="847" spans="1:18" s="49" customFormat="1" ht="12.75" x14ac:dyDescent="0.2">
      <c r="A847" s="53"/>
      <c r="D847" s="54"/>
      <c r="E847" s="55"/>
      <c r="F847" s="56"/>
      <c r="H847" s="56"/>
      <c r="I847" s="100"/>
      <c r="K847" s="100"/>
      <c r="L847" s="100"/>
      <c r="M847" s="100"/>
      <c r="N847" s="54"/>
      <c r="Q847" s="107"/>
      <c r="R847" s="107"/>
    </row>
    <row r="848" spans="1:18" s="49" customFormat="1" ht="12.75" x14ac:dyDescent="0.2">
      <c r="A848" s="53"/>
      <c r="D848" s="54"/>
      <c r="E848" s="55"/>
      <c r="F848" s="56"/>
      <c r="H848" s="56"/>
      <c r="I848" s="100"/>
      <c r="K848" s="100"/>
      <c r="L848" s="100"/>
      <c r="M848" s="100"/>
      <c r="N848" s="54"/>
      <c r="Q848" s="107"/>
      <c r="R848" s="107"/>
    </row>
    <row r="849" spans="1:18" s="49" customFormat="1" ht="12.75" x14ac:dyDescent="0.2">
      <c r="A849" s="53"/>
      <c r="D849" s="54"/>
      <c r="E849" s="55"/>
      <c r="F849" s="56"/>
      <c r="H849" s="56"/>
      <c r="I849" s="100"/>
      <c r="K849" s="100"/>
      <c r="L849" s="100"/>
      <c r="M849" s="100"/>
      <c r="N849" s="54"/>
      <c r="Q849" s="107"/>
      <c r="R849" s="107"/>
    </row>
    <row r="850" spans="1:18" s="49" customFormat="1" ht="12.75" x14ac:dyDescent="0.2">
      <c r="A850" s="53"/>
      <c r="D850" s="54"/>
      <c r="E850" s="55"/>
      <c r="F850" s="56"/>
      <c r="H850" s="56"/>
      <c r="I850" s="100"/>
      <c r="K850" s="100"/>
      <c r="L850" s="100"/>
      <c r="M850" s="100"/>
      <c r="N850" s="54"/>
      <c r="Q850" s="107"/>
      <c r="R850" s="107"/>
    </row>
    <row r="851" spans="1:18" s="49" customFormat="1" ht="12.75" x14ac:dyDescent="0.2">
      <c r="A851" s="53"/>
      <c r="D851" s="54"/>
      <c r="E851" s="55"/>
      <c r="F851" s="56"/>
      <c r="H851" s="56"/>
      <c r="I851" s="100"/>
      <c r="K851" s="100"/>
      <c r="L851" s="100"/>
      <c r="M851" s="100"/>
      <c r="N851" s="54"/>
      <c r="Q851" s="107"/>
      <c r="R851" s="107"/>
    </row>
  </sheetData>
  <sheetProtection insertColumns="0" insertRows="0"/>
  <phoneticPr fontId="0" type="noConversion"/>
  <dataValidations count="3">
    <dataValidation allowBlank="1" showErrorMessage="1" sqref="C7" xr:uid="{00000000-0002-0000-0900-000000000000}"/>
    <dataValidation allowBlank="1" showInputMessage="1" showErrorMessage="1" promptTitle="HINWEIS" prompt="Bitte hier die entsprechenden Auslandsdiäten eingeben" sqref="E26:H26" xr:uid="{00000000-0002-0000-0900-000001000000}"/>
    <dataValidation type="whole" operator="lessThan" allowBlank="1" showInputMessage="1" showErrorMessage="1" sqref="C26:D26" xr:uid="{3A63CB04-0191-4669-9F07-17A748A58A7C}">
      <formula1>-99999</formula1>
    </dataValidation>
  </dataValidations>
  <printOptions horizontalCentered="1"/>
  <pageMargins left="1.1811023622047245" right="0.78740157480314965" top="1.1811023622047245" bottom="0.78740157480314965" header="0.51181102362204722" footer="0.51181102362204722"/>
  <pageSetup paperSize="9" scale="54" fitToHeight="0" orientation="portrait" blackAndWhite="1" horizontalDpi="4294967292" verticalDpi="300"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B4:H6 B21 I21 B25:D25 H32:H34 B36:I36 B55:I58 I4 B23 B30:D31 B10:H13 B7:B9 D7:H9 B15:H18 B14:D14 F14:H14 B26:B28 B19:D19 F19:H19 B32:B34 D32:D34 B39:I41 B37:H38 B43:I52 C54:H5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Z151"/>
  <sheetViews>
    <sheetView zoomScale="80" zoomScaleNormal="80" workbookViewId="0">
      <pane ySplit="10" topLeftCell="A11" activePane="bottomLeft" state="frozen"/>
      <selection pane="bottomLeft" activeCell="T44" sqref="T44"/>
    </sheetView>
  </sheetViews>
  <sheetFormatPr baseColWidth="10" defaultColWidth="11" defaultRowHeight="15" x14ac:dyDescent="0.2"/>
  <cols>
    <col min="1" max="1" width="49.125" style="117" customWidth="1"/>
    <col min="2" max="12" width="14.125" style="117" customWidth="1"/>
    <col min="13" max="16384" width="11" style="117"/>
  </cols>
  <sheetData>
    <row r="1" spans="1:52" s="116" customFormat="1" ht="18" x14ac:dyDescent="0.2">
      <c r="A1" s="1217" t="s">
        <v>585</v>
      </c>
      <c r="B1" s="1217"/>
      <c r="C1" s="1217"/>
      <c r="D1" s="1217"/>
      <c r="E1" s="1217"/>
      <c r="F1" s="1217"/>
      <c r="G1" s="1217"/>
      <c r="H1" s="1217"/>
      <c r="I1" s="1217"/>
      <c r="J1" s="1217"/>
      <c r="K1" s="1217"/>
      <c r="L1" s="1217"/>
      <c r="M1" s="40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row>
    <row r="2" spans="1:52" s="116" customFormat="1" x14ac:dyDescent="0.2">
      <c r="A2" s="1218" t="s">
        <v>946</v>
      </c>
      <c r="B2" s="1218"/>
      <c r="C2" s="1218"/>
      <c r="D2" s="1218"/>
      <c r="E2" s="1218"/>
      <c r="F2" s="1218"/>
      <c r="G2" s="1218"/>
      <c r="H2" s="1218"/>
      <c r="I2" s="1218"/>
      <c r="J2" s="1218"/>
      <c r="K2" s="1218"/>
      <c r="L2" s="1218"/>
      <c r="M2" s="40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row>
    <row r="3" spans="1:52" x14ac:dyDescent="0.2">
      <c r="A3" s="1219"/>
      <c r="B3" s="1219"/>
      <c r="C3" s="1219"/>
      <c r="D3" s="1219"/>
      <c r="E3" s="1219"/>
      <c r="F3" s="1219"/>
      <c r="G3" s="1219"/>
      <c r="H3" s="1219"/>
      <c r="I3" s="1219"/>
      <c r="J3" s="1219"/>
      <c r="K3" s="1219"/>
      <c r="L3" s="1219"/>
      <c r="M3" s="405"/>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row>
    <row r="4" spans="1:52" ht="15.75" thickBot="1" x14ac:dyDescent="0.25">
      <c r="A4" s="1220"/>
      <c r="B4" s="1220"/>
      <c r="C4" s="1220"/>
      <c r="D4" s="1220"/>
      <c r="E4" s="1220"/>
      <c r="F4" s="1220"/>
      <c r="G4" s="1220"/>
      <c r="H4" s="1220"/>
      <c r="I4" s="1220"/>
      <c r="J4" s="1220"/>
      <c r="K4" s="1220"/>
      <c r="L4" s="1220"/>
      <c r="M4" s="405"/>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row>
    <row r="5" spans="1:52" ht="18" customHeight="1" x14ac:dyDescent="0.2">
      <c r="A5" s="567"/>
      <c r="B5" s="1221" t="s">
        <v>586</v>
      </c>
      <c r="C5" s="1221"/>
      <c r="D5" s="1223" t="s">
        <v>587</v>
      </c>
      <c r="E5" s="1223"/>
      <c r="F5" s="1223" t="s">
        <v>588</v>
      </c>
      <c r="G5" s="1223"/>
      <c r="H5" s="1223"/>
      <c r="I5" s="1223"/>
      <c r="J5" s="1223" t="s">
        <v>589</v>
      </c>
      <c r="K5" s="1223"/>
      <c r="L5" s="1225"/>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row>
    <row r="6" spans="1:52" ht="18" customHeight="1" x14ac:dyDescent="0.2">
      <c r="A6" s="568"/>
      <c r="B6" s="1222"/>
      <c r="C6" s="1222"/>
      <c r="D6" s="1224"/>
      <c r="E6" s="1224"/>
      <c r="F6" s="1224"/>
      <c r="G6" s="1224"/>
      <c r="H6" s="1224"/>
      <c r="I6" s="1224"/>
      <c r="J6" s="1224"/>
      <c r="K6" s="1224"/>
      <c r="L6" s="122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row>
    <row r="7" spans="1:52" ht="18" customHeight="1" x14ac:dyDescent="0.2">
      <c r="A7" s="568"/>
      <c r="B7" s="569" t="s">
        <v>590</v>
      </c>
      <c r="C7" s="569" t="s">
        <v>590</v>
      </c>
      <c r="D7" s="570" t="s">
        <v>591</v>
      </c>
      <c r="E7" s="570" t="s">
        <v>591</v>
      </c>
      <c r="F7" s="1216" t="s">
        <v>592</v>
      </c>
      <c r="G7" s="1216"/>
      <c r="H7" s="1216" t="s">
        <v>593</v>
      </c>
      <c r="I7" s="1216"/>
      <c r="J7" s="571" t="s">
        <v>594</v>
      </c>
      <c r="K7" s="571" t="s">
        <v>595</v>
      </c>
      <c r="L7" s="572" t="s">
        <v>596</v>
      </c>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row>
    <row r="8" spans="1:52" ht="18" customHeight="1" x14ac:dyDescent="0.2">
      <c r="A8" s="568"/>
      <c r="B8" s="573"/>
      <c r="C8" s="573" t="s">
        <v>599</v>
      </c>
      <c r="D8" s="573"/>
      <c r="E8" s="573" t="s">
        <v>599</v>
      </c>
      <c r="F8" s="573" t="s">
        <v>597</v>
      </c>
      <c r="G8" s="573" t="s">
        <v>597</v>
      </c>
      <c r="H8" s="573" t="s">
        <v>597</v>
      </c>
      <c r="I8" s="573" t="s">
        <v>597</v>
      </c>
      <c r="J8" s="574" t="s">
        <v>598</v>
      </c>
      <c r="K8" s="574" t="s">
        <v>598</v>
      </c>
      <c r="L8" s="575" t="s">
        <v>598</v>
      </c>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6"/>
      <c r="AY8" s="566"/>
      <c r="AZ8" s="566"/>
    </row>
    <row r="9" spans="1:52" ht="18" customHeight="1" x14ac:dyDescent="0.2">
      <c r="A9" s="568"/>
      <c r="B9" s="573"/>
      <c r="C9" s="573"/>
      <c r="D9" s="573"/>
      <c r="E9" s="573"/>
      <c r="F9" s="576"/>
      <c r="G9" s="573" t="s">
        <v>599</v>
      </c>
      <c r="H9" s="576"/>
      <c r="I9" s="573" t="s">
        <v>599</v>
      </c>
      <c r="J9" s="574" t="s">
        <v>600</v>
      </c>
      <c r="K9" s="574" t="s">
        <v>600</v>
      </c>
      <c r="L9" s="575" t="s">
        <v>600</v>
      </c>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6"/>
      <c r="AW9" s="566"/>
      <c r="AX9" s="566"/>
      <c r="AY9" s="566"/>
      <c r="AZ9" s="566"/>
    </row>
    <row r="10" spans="1:52" ht="18" customHeight="1" x14ac:dyDescent="0.2">
      <c r="A10" s="568"/>
      <c r="B10" s="577"/>
      <c r="C10" s="578"/>
      <c r="D10" s="577"/>
      <c r="E10" s="578"/>
      <c r="F10" s="579"/>
      <c r="G10" s="578"/>
      <c r="H10" s="579"/>
      <c r="I10" s="578"/>
      <c r="J10" s="580">
        <v>0.4</v>
      </c>
      <c r="K10" s="580">
        <v>0.35</v>
      </c>
      <c r="L10" s="581">
        <v>0.3</v>
      </c>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6"/>
      <c r="AS10" s="566"/>
      <c r="AT10" s="566"/>
      <c r="AU10" s="566"/>
      <c r="AV10" s="566"/>
      <c r="AW10" s="566"/>
      <c r="AX10" s="566"/>
      <c r="AY10" s="566"/>
      <c r="AZ10" s="566"/>
    </row>
    <row r="11" spans="1:52" ht="18" customHeight="1" x14ac:dyDescent="0.2">
      <c r="A11" s="582" t="s">
        <v>601</v>
      </c>
      <c r="B11" s="583">
        <v>0</v>
      </c>
      <c r="C11" s="583">
        <f t="shared" ref="C11:C42" si="0">B11*1.2881166</f>
        <v>0</v>
      </c>
      <c r="D11" s="583">
        <f t="shared" ref="D11:D17" si="1">B11*1.385</f>
        <v>0</v>
      </c>
      <c r="E11" s="583">
        <f>D11*1.2881166</f>
        <v>0</v>
      </c>
      <c r="F11" s="583">
        <f t="shared" ref="F11:F42" si="2">B11/4</f>
        <v>0</v>
      </c>
      <c r="G11" s="583">
        <f>F11*1.2881166</f>
        <v>0</v>
      </c>
      <c r="H11" s="583">
        <f t="shared" ref="H11:H42" si="3">B11/5</f>
        <v>0</v>
      </c>
      <c r="I11" s="583">
        <f t="shared" ref="I11:I16" si="4">H11*1.2881166</f>
        <v>0</v>
      </c>
      <c r="J11" s="583">
        <f t="shared" ref="J11:J21" si="5">B11*4.33*0.6</f>
        <v>0</v>
      </c>
      <c r="K11" s="583">
        <f t="shared" ref="K11:K21" si="6">B11*4.33*0.65</f>
        <v>0</v>
      </c>
      <c r="L11" s="584">
        <f t="shared" ref="L11:L21" si="7">B11*4.33*0.7</f>
        <v>0</v>
      </c>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566"/>
    </row>
    <row r="12" spans="1:52" ht="18" customHeight="1" x14ac:dyDescent="0.2">
      <c r="A12" s="582" t="s">
        <v>602</v>
      </c>
      <c r="B12" s="583">
        <v>1087.2104188310625</v>
      </c>
      <c r="C12" s="583">
        <f t="shared" si="0"/>
        <v>1400.4537881892441</v>
      </c>
      <c r="D12" s="583">
        <f t="shared" si="1"/>
        <v>1505.7864300810215</v>
      </c>
      <c r="E12" s="583">
        <f>D12*1.2881166</f>
        <v>1939.6284966421031</v>
      </c>
      <c r="F12" s="583">
        <f t="shared" si="2"/>
        <v>271.80260470776562</v>
      </c>
      <c r="G12" s="583">
        <f>F12*1.2881166</f>
        <v>350.11344704731101</v>
      </c>
      <c r="H12" s="583">
        <f t="shared" si="3"/>
        <v>217.44208376621251</v>
      </c>
      <c r="I12" s="583">
        <f t="shared" si="4"/>
        <v>280.09075763784881</v>
      </c>
      <c r="J12" s="583">
        <f t="shared" si="5"/>
        <v>2824.5726681231004</v>
      </c>
      <c r="K12" s="583">
        <f t="shared" si="6"/>
        <v>3059.9537238000257</v>
      </c>
      <c r="L12" s="584">
        <f t="shared" si="7"/>
        <v>3295.3347794769506</v>
      </c>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6"/>
      <c r="AV12" s="566"/>
      <c r="AW12" s="566"/>
      <c r="AX12" s="566"/>
      <c r="AY12" s="566"/>
      <c r="AZ12" s="566"/>
    </row>
    <row r="13" spans="1:52" ht="18" customHeight="1" x14ac:dyDescent="0.2">
      <c r="A13" s="582" t="s">
        <v>854</v>
      </c>
      <c r="B13" s="583">
        <v>1892.3779137363749</v>
      </c>
      <c r="C13" s="583">
        <f t="shared" si="0"/>
        <v>2437.6034041571925</v>
      </c>
      <c r="D13" s="583">
        <f t="shared" si="1"/>
        <v>2620.9434105248793</v>
      </c>
      <c r="E13" s="583">
        <f>D13*1.2881166</f>
        <v>3376.0807147577116</v>
      </c>
      <c r="F13" s="583">
        <f t="shared" si="2"/>
        <v>473.09447843409373</v>
      </c>
      <c r="G13" s="583">
        <f t="shared" ref="G13:G17" si="8">F13*1.2881166</f>
        <v>609.40085103929812</v>
      </c>
      <c r="H13" s="583">
        <f t="shared" si="3"/>
        <v>378.47558274727498</v>
      </c>
      <c r="I13" s="583">
        <f t="shared" si="4"/>
        <v>487.52068083143848</v>
      </c>
      <c r="J13" s="583">
        <f t="shared" si="5"/>
        <v>4916.3978198871018</v>
      </c>
      <c r="K13" s="583">
        <f t="shared" si="6"/>
        <v>5326.0976382110266</v>
      </c>
      <c r="L13" s="584">
        <f t="shared" si="7"/>
        <v>5735.7974565349514</v>
      </c>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6"/>
      <c r="AT13" s="566"/>
      <c r="AU13" s="566"/>
      <c r="AV13" s="566"/>
      <c r="AW13" s="566"/>
      <c r="AX13" s="566"/>
      <c r="AY13" s="566"/>
      <c r="AZ13" s="566"/>
    </row>
    <row r="14" spans="1:52" ht="18" customHeight="1" x14ac:dyDescent="0.2">
      <c r="A14" s="582" t="s">
        <v>855</v>
      </c>
      <c r="B14" s="583">
        <v>1156.8501024712125</v>
      </c>
      <c r="C14" s="583">
        <f t="shared" si="0"/>
        <v>1490.1578207048697</v>
      </c>
      <c r="D14" s="583">
        <f t="shared" si="1"/>
        <v>1602.2373919226293</v>
      </c>
      <c r="E14" s="583">
        <f>D14*1.2881166</f>
        <v>2063.8685816762445</v>
      </c>
      <c r="F14" s="583">
        <f t="shared" si="2"/>
        <v>289.21252561780312</v>
      </c>
      <c r="G14" s="583">
        <f t="shared" si="8"/>
        <v>372.53945517621742</v>
      </c>
      <c r="H14" s="583">
        <f t="shared" si="3"/>
        <v>231.37002049424251</v>
      </c>
      <c r="I14" s="583">
        <f t="shared" si="4"/>
        <v>298.03156414097396</v>
      </c>
      <c r="J14" s="583">
        <f t="shared" si="5"/>
        <v>3005.4965662202098</v>
      </c>
      <c r="K14" s="583">
        <f t="shared" si="6"/>
        <v>3255.9546134052275</v>
      </c>
      <c r="L14" s="584">
        <f t="shared" si="7"/>
        <v>3506.4126605902447</v>
      </c>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row>
    <row r="15" spans="1:52" ht="18" customHeight="1" x14ac:dyDescent="0.2">
      <c r="A15" s="582" t="s">
        <v>856</v>
      </c>
      <c r="B15" s="583">
        <v>1799.8925327399247</v>
      </c>
      <c r="C15" s="583">
        <f t="shared" si="0"/>
        <v>2318.4714496383403</v>
      </c>
      <c r="D15" s="583">
        <f t="shared" si="1"/>
        <v>2492.8511578447956</v>
      </c>
      <c r="E15" s="583">
        <f>D15*1.2881166</f>
        <v>3211.0829577491013</v>
      </c>
      <c r="F15" s="583">
        <f t="shared" si="2"/>
        <v>449.97313318498118</v>
      </c>
      <c r="G15" s="583">
        <f t="shared" si="8"/>
        <v>579.61786240958509</v>
      </c>
      <c r="H15" s="583">
        <f t="shared" si="3"/>
        <v>359.97850654798492</v>
      </c>
      <c r="I15" s="583">
        <f t="shared" si="4"/>
        <v>463.69428992766808</v>
      </c>
      <c r="J15" s="583">
        <f t="shared" si="5"/>
        <v>4676.1208000583247</v>
      </c>
      <c r="K15" s="583">
        <f t="shared" si="6"/>
        <v>5065.7975333965187</v>
      </c>
      <c r="L15" s="584">
        <f t="shared" si="7"/>
        <v>5455.4742667347118</v>
      </c>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row>
    <row r="16" spans="1:52" ht="18" customHeight="1" x14ac:dyDescent="0.2">
      <c r="A16" s="582" t="s">
        <v>857</v>
      </c>
      <c r="B16" s="583">
        <v>1138.8778598598374</v>
      </c>
      <c r="C16" s="583">
        <f t="shared" si="0"/>
        <v>1467.0074766579301</v>
      </c>
      <c r="D16" s="583">
        <f t="shared" si="1"/>
        <v>1577.3458359058748</v>
      </c>
      <c r="E16" s="583">
        <f t="shared" ref="E16:E59" si="9">D16*1.2881166</f>
        <v>2031.8053551712333</v>
      </c>
      <c r="F16" s="583">
        <f t="shared" si="2"/>
        <v>284.71946496495934</v>
      </c>
      <c r="G16" s="583">
        <f t="shared" si="8"/>
        <v>366.75186916448251</v>
      </c>
      <c r="H16" s="583">
        <f t="shared" si="3"/>
        <v>227.77557197196748</v>
      </c>
      <c r="I16" s="583">
        <f t="shared" si="4"/>
        <v>293.40149533158603</v>
      </c>
      <c r="J16" s="583">
        <f t="shared" si="5"/>
        <v>2958.8046799158574</v>
      </c>
      <c r="K16" s="583">
        <f t="shared" si="6"/>
        <v>3205.3717365755124</v>
      </c>
      <c r="L16" s="584">
        <f t="shared" si="7"/>
        <v>3451.9387932351669</v>
      </c>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6"/>
      <c r="AQ16" s="566"/>
      <c r="AR16" s="566"/>
      <c r="AS16" s="566"/>
      <c r="AT16" s="566"/>
      <c r="AU16" s="566"/>
      <c r="AV16" s="566"/>
      <c r="AW16" s="566"/>
      <c r="AX16" s="566"/>
      <c r="AY16" s="566"/>
      <c r="AZ16" s="566"/>
    </row>
    <row r="17" spans="1:52" ht="18" customHeight="1" x14ac:dyDescent="0.2">
      <c r="A17" s="582" t="s">
        <v>858</v>
      </c>
      <c r="B17" s="583">
        <v>1061.3766983166749</v>
      </c>
      <c r="C17" s="583">
        <f t="shared" si="0"/>
        <v>1367.1769439549009</v>
      </c>
      <c r="D17" s="583">
        <f t="shared" si="1"/>
        <v>1470.0067271685948</v>
      </c>
      <c r="E17" s="583">
        <f t="shared" si="9"/>
        <v>1893.540067377538</v>
      </c>
      <c r="F17" s="583">
        <f t="shared" si="2"/>
        <v>265.34417457916874</v>
      </c>
      <c r="G17" s="583">
        <f t="shared" si="8"/>
        <v>341.79423598872523</v>
      </c>
      <c r="H17" s="583">
        <f t="shared" si="3"/>
        <v>212.27533966333499</v>
      </c>
      <c r="I17" s="583">
        <f>H17*1.2881166</f>
        <v>273.4353887909802</v>
      </c>
      <c r="J17" s="583">
        <f t="shared" si="5"/>
        <v>2757.4566622267216</v>
      </c>
      <c r="K17" s="583">
        <f t="shared" si="6"/>
        <v>2987.2447174122822</v>
      </c>
      <c r="L17" s="584">
        <f t="shared" si="7"/>
        <v>3217.0327725978418</v>
      </c>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6"/>
      <c r="AM17" s="566"/>
      <c r="AN17" s="566"/>
      <c r="AO17" s="566"/>
      <c r="AP17" s="566"/>
      <c r="AQ17" s="566"/>
      <c r="AR17" s="566"/>
      <c r="AS17" s="566"/>
      <c r="AT17" s="566"/>
      <c r="AU17" s="566"/>
      <c r="AV17" s="566"/>
      <c r="AW17" s="566"/>
      <c r="AX17" s="566"/>
      <c r="AY17" s="566"/>
      <c r="AZ17" s="566"/>
    </row>
    <row r="18" spans="1:52" ht="18" customHeight="1" x14ac:dyDescent="0.2">
      <c r="A18" s="582" t="s">
        <v>859</v>
      </c>
      <c r="B18" s="583">
        <v>963.49964453681241</v>
      </c>
      <c r="C18" s="583">
        <f t="shared" si="0"/>
        <v>1241.0998862219674</v>
      </c>
      <c r="D18" s="583">
        <f>B18*1.4375</f>
        <v>1385.0307390216678</v>
      </c>
      <c r="E18" s="583">
        <f t="shared" si="9"/>
        <v>1784.081086444078</v>
      </c>
      <c r="F18" s="583">
        <f t="shared" si="2"/>
        <v>240.8749111342031</v>
      </c>
      <c r="G18" s="583">
        <f>F18*1.2881166</f>
        <v>310.27497155549185</v>
      </c>
      <c r="H18" s="583">
        <f t="shared" si="3"/>
        <v>192.69992890736248</v>
      </c>
      <c r="I18" s="583">
        <f>H18*1.2881166</f>
        <v>248.21997724439345</v>
      </c>
      <c r="J18" s="583">
        <f t="shared" si="5"/>
        <v>2503.1720765066389</v>
      </c>
      <c r="K18" s="583">
        <f t="shared" si="6"/>
        <v>2711.7697495488592</v>
      </c>
      <c r="L18" s="584">
        <f t="shared" si="7"/>
        <v>2920.3674225910786</v>
      </c>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row>
    <row r="19" spans="1:52" ht="18" customHeight="1" x14ac:dyDescent="0.2">
      <c r="A19" s="582" t="s">
        <v>603</v>
      </c>
      <c r="B19" s="583">
        <v>857.9154756739124</v>
      </c>
      <c r="C19" s="583">
        <f t="shared" si="0"/>
        <v>1105.0951656124628</v>
      </c>
      <c r="D19" s="583">
        <f t="shared" ref="D19:D59" si="10">B19*1.385</f>
        <v>1188.2129338083687</v>
      </c>
      <c r="E19" s="583">
        <f t="shared" si="9"/>
        <v>1530.5568043732608</v>
      </c>
      <c r="F19" s="583">
        <f t="shared" si="2"/>
        <v>214.4788689184781</v>
      </c>
      <c r="G19" s="583">
        <f>F19*1.2881166</f>
        <v>276.27379140311569</v>
      </c>
      <c r="H19" s="583">
        <f t="shared" si="3"/>
        <v>171.58309513478247</v>
      </c>
      <c r="I19" s="583">
        <f>H19*1.2881166</f>
        <v>221.01903312249252</v>
      </c>
      <c r="J19" s="583">
        <f t="shared" si="5"/>
        <v>2228.8644058008244</v>
      </c>
      <c r="K19" s="583">
        <f t="shared" si="6"/>
        <v>2414.6031062842267</v>
      </c>
      <c r="L19" s="584">
        <f t="shared" si="7"/>
        <v>2600.3418067676284</v>
      </c>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row>
    <row r="20" spans="1:52" ht="18" customHeight="1" x14ac:dyDescent="0.2">
      <c r="A20" s="582" t="s">
        <v>604</v>
      </c>
      <c r="B20" s="583">
        <v>1040.0415514129875</v>
      </c>
      <c r="C20" s="583">
        <f t="shared" si="0"/>
        <v>1339.6947870648225</v>
      </c>
      <c r="D20" s="583">
        <f t="shared" si="10"/>
        <v>1440.4575487069876</v>
      </c>
      <c r="E20" s="583">
        <f t="shared" si="9"/>
        <v>1855.4772800847793</v>
      </c>
      <c r="F20" s="583">
        <f t="shared" si="2"/>
        <v>260.01038785324687</v>
      </c>
      <c r="G20" s="583">
        <f>F20*1.2881166</f>
        <v>334.92369676620564</v>
      </c>
      <c r="H20" s="583">
        <f t="shared" si="3"/>
        <v>208.00831028259751</v>
      </c>
      <c r="I20" s="583">
        <f>H20*1.2881166</f>
        <v>267.93895741296456</v>
      </c>
      <c r="J20" s="583">
        <f t="shared" si="5"/>
        <v>2702.0279505709414</v>
      </c>
      <c r="K20" s="583">
        <f t="shared" si="6"/>
        <v>2927.1969464518534</v>
      </c>
      <c r="L20" s="584">
        <f t="shared" si="7"/>
        <v>3152.3659423327649</v>
      </c>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row>
    <row r="21" spans="1:52" ht="18" customHeight="1" x14ac:dyDescent="0.2">
      <c r="A21" s="582" t="s">
        <v>605</v>
      </c>
      <c r="B21" s="583">
        <v>0</v>
      </c>
      <c r="C21" s="583">
        <f t="shared" si="0"/>
        <v>0</v>
      </c>
      <c r="D21" s="583">
        <f t="shared" si="10"/>
        <v>0</v>
      </c>
      <c r="E21" s="583">
        <f t="shared" si="9"/>
        <v>0</v>
      </c>
      <c r="F21" s="583">
        <f t="shared" si="2"/>
        <v>0</v>
      </c>
      <c r="G21" s="583">
        <f>F21*1.2881166</f>
        <v>0</v>
      </c>
      <c r="H21" s="583">
        <f t="shared" si="3"/>
        <v>0</v>
      </c>
      <c r="I21" s="583">
        <f>H21*1.2881166</f>
        <v>0</v>
      </c>
      <c r="J21" s="583">
        <f t="shared" si="5"/>
        <v>0</v>
      </c>
      <c r="K21" s="583">
        <f t="shared" si="6"/>
        <v>0</v>
      </c>
      <c r="L21" s="584">
        <f t="shared" si="7"/>
        <v>0</v>
      </c>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row>
    <row r="22" spans="1:52" ht="18" customHeight="1" x14ac:dyDescent="0.2">
      <c r="A22" s="582" t="s">
        <v>185</v>
      </c>
      <c r="B22" s="583">
        <v>1108.54556573475</v>
      </c>
      <c r="C22" s="583">
        <f t="shared" si="0"/>
        <v>1427.9359450793227</v>
      </c>
      <c r="D22" s="583">
        <f t="shared" si="10"/>
        <v>1535.3356085426287</v>
      </c>
      <c r="E22" s="583">
        <f t="shared" si="9"/>
        <v>1977.6912839348618</v>
      </c>
      <c r="F22" s="583">
        <f t="shared" si="2"/>
        <v>277.13639143368749</v>
      </c>
      <c r="G22" s="583">
        <f t="shared" ref="G22:G54" si="11">F22*1.2881166</f>
        <v>356.98398626983067</v>
      </c>
      <c r="H22" s="583">
        <f t="shared" si="3"/>
        <v>221.70911314694999</v>
      </c>
      <c r="I22" s="583">
        <f t="shared" ref="I22:I59" si="12">H22*1.2881166</f>
        <v>285.58718901586451</v>
      </c>
      <c r="J22" s="583">
        <f t="shared" ref="J22:J54" si="13">B22*4.33*0.6</f>
        <v>2880.0013797788802</v>
      </c>
      <c r="K22" s="583">
        <f t="shared" ref="K22:K54" si="14">B22*4.33*0.65</f>
        <v>3120.0014947604541</v>
      </c>
      <c r="L22" s="584">
        <f t="shared" ref="L22:L54" si="15">B22*4.33*0.7</f>
        <v>3360.0016097420271</v>
      </c>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row>
    <row r="23" spans="1:52" ht="18" customHeight="1" x14ac:dyDescent="0.2">
      <c r="A23" s="582" t="s">
        <v>606</v>
      </c>
      <c r="B23" s="583">
        <v>671.33492998698739</v>
      </c>
      <c r="C23" s="583">
        <f t="shared" si="0"/>
        <v>864.75766747607622</v>
      </c>
      <c r="D23" s="583">
        <f t="shared" si="10"/>
        <v>929.79887803197755</v>
      </c>
      <c r="E23" s="583">
        <f t="shared" si="9"/>
        <v>1197.6893694543655</v>
      </c>
      <c r="F23" s="583">
        <f t="shared" si="2"/>
        <v>167.83373249674685</v>
      </c>
      <c r="G23" s="583">
        <f t="shared" si="11"/>
        <v>216.18941686901906</v>
      </c>
      <c r="H23" s="583">
        <f t="shared" si="3"/>
        <v>134.26698599739748</v>
      </c>
      <c r="I23" s="583">
        <f t="shared" si="12"/>
        <v>172.95153349521524</v>
      </c>
      <c r="J23" s="583">
        <f t="shared" si="13"/>
        <v>1744.1281481061933</v>
      </c>
      <c r="K23" s="583">
        <f t="shared" si="14"/>
        <v>1889.4721604483761</v>
      </c>
      <c r="L23" s="584">
        <f t="shared" si="15"/>
        <v>2034.8161727905588</v>
      </c>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row>
    <row r="24" spans="1:52" ht="18" customHeight="1" x14ac:dyDescent="0.2">
      <c r="A24" s="582" t="s">
        <v>607</v>
      </c>
      <c r="B24" s="583">
        <v>766.69807498439991</v>
      </c>
      <c r="C24" s="583">
        <f t="shared" si="0"/>
        <v>987.59651757545021</v>
      </c>
      <c r="D24" s="583">
        <f t="shared" si="10"/>
        <v>1061.8768338533939</v>
      </c>
      <c r="E24" s="583">
        <f t="shared" si="9"/>
        <v>1367.8211768419985</v>
      </c>
      <c r="F24" s="583">
        <f t="shared" si="2"/>
        <v>191.67451874609998</v>
      </c>
      <c r="G24" s="583">
        <f t="shared" si="11"/>
        <v>246.89912939386255</v>
      </c>
      <c r="H24" s="583">
        <f t="shared" si="3"/>
        <v>153.33961499687999</v>
      </c>
      <c r="I24" s="583">
        <f t="shared" si="12"/>
        <v>197.51930351509006</v>
      </c>
      <c r="J24" s="583">
        <f t="shared" si="13"/>
        <v>1991.8815988094707</v>
      </c>
      <c r="K24" s="583">
        <f t="shared" si="14"/>
        <v>2157.8717320435935</v>
      </c>
      <c r="L24" s="584">
        <f t="shared" si="15"/>
        <v>2323.8618652777159</v>
      </c>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row>
    <row r="25" spans="1:52" ht="18" customHeight="1" x14ac:dyDescent="0.2">
      <c r="A25" s="582" t="s">
        <v>46</v>
      </c>
      <c r="B25" s="583">
        <v>1874.7033708492372</v>
      </c>
      <c r="C25" s="583">
        <f t="shared" si="0"/>
        <v>2414.8365320668586</v>
      </c>
      <c r="D25" s="583">
        <f t="shared" si="10"/>
        <v>2596.4641686261934</v>
      </c>
      <c r="E25" s="583">
        <f t="shared" si="9"/>
        <v>3344.5485969125989</v>
      </c>
      <c r="F25" s="583">
        <f t="shared" si="2"/>
        <v>468.6758427123093</v>
      </c>
      <c r="G25" s="583">
        <f t="shared" si="11"/>
        <v>603.70913301671465</v>
      </c>
      <c r="H25" s="583">
        <f t="shared" si="3"/>
        <v>374.94067416984745</v>
      </c>
      <c r="I25" s="583">
        <f t="shared" si="12"/>
        <v>482.96730641337172</v>
      </c>
      <c r="J25" s="583">
        <f t="shared" si="13"/>
        <v>4870.4793574663181</v>
      </c>
      <c r="K25" s="583">
        <f t="shared" si="14"/>
        <v>5276.3526372551787</v>
      </c>
      <c r="L25" s="584">
        <f t="shared" si="15"/>
        <v>5682.2259170440375</v>
      </c>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row>
    <row r="26" spans="1:52" ht="18" customHeight="1" x14ac:dyDescent="0.2">
      <c r="A26" s="582" t="s">
        <v>860</v>
      </c>
      <c r="B26" s="583">
        <v>2639.5380660782248</v>
      </c>
      <c r="C26" s="583">
        <f t="shared" si="0"/>
        <v>3400.032799247258</v>
      </c>
      <c r="D26" s="583">
        <f t="shared" si="10"/>
        <v>3655.7602215183415</v>
      </c>
      <c r="E26" s="583">
        <f t="shared" si="9"/>
        <v>4709.0454269574529</v>
      </c>
      <c r="F26" s="583">
        <f t="shared" si="2"/>
        <v>659.8845165195562</v>
      </c>
      <c r="G26" s="583">
        <f t="shared" si="11"/>
        <v>850.00819981181451</v>
      </c>
      <c r="H26" s="583">
        <f t="shared" si="3"/>
        <v>527.90761321564491</v>
      </c>
      <c r="I26" s="583">
        <f t="shared" si="12"/>
        <v>680.00655984945161</v>
      </c>
      <c r="J26" s="583">
        <f t="shared" si="13"/>
        <v>6857.5198956712275</v>
      </c>
      <c r="K26" s="583">
        <f t="shared" si="14"/>
        <v>7428.9798869771639</v>
      </c>
      <c r="L26" s="584">
        <f t="shared" si="15"/>
        <v>8000.4398782830986</v>
      </c>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row>
    <row r="27" spans="1:52" ht="18" customHeight="1" x14ac:dyDescent="0.2">
      <c r="A27" s="582" t="s">
        <v>861</v>
      </c>
      <c r="B27" s="583">
        <v>1924.9484687510997</v>
      </c>
      <c r="C27" s="583">
        <f t="shared" si="0"/>
        <v>2479.5580767428728</v>
      </c>
      <c r="D27" s="583">
        <f t="shared" si="10"/>
        <v>2666.0536292202733</v>
      </c>
      <c r="E27" s="583">
        <f t="shared" si="9"/>
        <v>3434.187936288879</v>
      </c>
      <c r="F27" s="583">
        <f t="shared" si="2"/>
        <v>481.23711718777491</v>
      </c>
      <c r="G27" s="583">
        <f t="shared" si="11"/>
        <v>619.8895191857182</v>
      </c>
      <c r="H27" s="583">
        <f t="shared" si="3"/>
        <v>384.98969375021994</v>
      </c>
      <c r="I27" s="583">
        <f t="shared" si="12"/>
        <v>495.91161534857451</v>
      </c>
      <c r="J27" s="583">
        <f t="shared" si="13"/>
        <v>5001.0161218153562</v>
      </c>
      <c r="K27" s="583">
        <f t="shared" si="14"/>
        <v>5417.7674652999704</v>
      </c>
      <c r="L27" s="584">
        <f t="shared" si="15"/>
        <v>5834.5188087845827</v>
      </c>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row>
    <row r="28" spans="1:52" ht="18" customHeight="1" x14ac:dyDescent="0.2">
      <c r="A28" s="582" t="s">
        <v>862</v>
      </c>
      <c r="B28" s="583">
        <v>1454.4395675515873</v>
      </c>
      <c r="C28" s="583">
        <f t="shared" si="0"/>
        <v>1873.4877506600208</v>
      </c>
      <c r="D28" s="583">
        <f t="shared" si="10"/>
        <v>2014.3988010589485</v>
      </c>
      <c r="E28" s="583">
        <f t="shared" si="9"/>
        <v>2594.7805346641289</v>
      </c>
      <c r="F28" s="583">
        <f t="shared" si="2"/>
        <v>363.60989188789682</v>
      </c>
      <c r="G28" s="583">
        <f>F28*1.2881166</f>
        <v>468.37193766500519</v>
      </c>
      <c r="H28" s="583">
        <f t="shared" si="3"/>
        <v>290.88791351031745</v>
      </c>
      <c r="I28" s="583">
        <f>H28*1.2881166</f>
        <v>374.69755013200415</v>
      </c>
      <c r="J28" s="583">
        <f>B28*4.33*0.6</f>
        <v>3778.6339964990234</v>
      </c>
      <c r="K28" s="583">
        <f>B28*4.33*0.65</f>
        <v>4093.5201628739424</v>
      </c>
      <c r="L28" s="584">
        <f>B28*4.33*0.7</f>
        <v>4408.4063292488609</v>
      </c>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row>
    <row r="29" spans="1:52" ht="18" customHeight="1" x14ac:dyDescent="0.2">
      <c r="A29" s="582" t="s">
        <v>847</v>
      </c>
      <c r="B29" s="583">
        <v>1087.2104188310625</v>
      </c>
      <c r="C29" s="583">
        <f t="shared" si="0"/>
        <v>1400.4537881892441</v>
      </c>
      <c r="D29" s="583">
        <f t="shared" si="10"/>
        <v>1505.7864300810215</v>
      </c>
      <c r="E29" s="583">
        <f t="shared" si="9"/>
        <v>1939.6284966421031</v>
      </c>
      <c r="F29" s="583">
        <f t="shared" si="2"/>
        <v>271.80260470776562</v>
      </c>
      <c r="G29" s="583">
        <f>F29*1.2881166</f>
        <v>350.11344704731101</v>
      </c>
      <c r="H29" s="583">
        <f t="shared" si="3"/>
        <v>217.44208376621251</v>
      </c>
      <c r="I29" s="583">
        <f>H29*1.2881166</f>
        <v>280.09075763784881</v>
      </c>
      <c r="J29" s="583">
        <f>B29*4.33*0.6</f>
        <v>2824.5726681231004</v>
      </c>
      <c r="K29" s="583">
        <f>B29*4.33*0.65</f>
        <v>3059.9537238000257</v>
      </c>
      <c r="L29" s="584">
        <f>B29*4.33*0.7</f>
        <v>3295.3347794769506</v>
      </c>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row>
    <row r="30" spans="1:52" ht="18" customHeight="1" x14ac:dyDescent="0.2">
      <c r="A30" s="582" t="s">
        <v>608</v>
      </c>
      <c r="B30" s="583">
        <v>1061.3766983166749</v>
      </c>
      <c r="C30" s="583">
        <f t="shared" si="0"/>
        <v>1367.1769439549009</v>
      </c>
      <c r="D30" s="583">
        <f t="shared" si="10"/>
        <v>1470.0067271685948</v>
      </c>
      <c r="E30" s="583">
        <f t="shared" si="9"/>
        <v>1893.540067377538</v>
      </c>
      <c r="F30" s="583">
        <f t="shared" si="2"/>
        <v>265.34417457916874</v>
      </c>
      <c r="G30" s="583">
        <f t="shared" si="11"/>
        <v>341.79423598872523</v>
      </c>
      <c r="H30" s="583">
        <f t="shared" si="3"/>
        <v>212.27533966333499</v>
      </c>
      <c r="I30" s="583">
        <f t="shared" si="12"/>
        <v>273.4353887909802</v>
      </c>
      <c r="J30" s="583">
        <f t="shared" si="13"/>
        <v>2757.4566622267216</v>
      </c>
      <c r="K30" s="583">
        <f t="shared" si="14"/>
        <v>2987.2447174122822</v>
      </c>
      <c r="L30" s="584">
        <f t="shared" si="15"/>
        <v>3217.0327725978418</v>
      </c>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row>
    <row r="31" spans="1:52" ht="18" customHeight="1" x14ac:dyDescent="0.2">
      <c r="A31" s="582" t="s">
        <v>609</v>
      </c>
      <c r="B31" s="583">
        <v>808.18859581053732</v>
      </c>
      <c r="C31" s="583">
        <f t="shared" si="0"/>
        <v>1041.0411461942435</v>
      </c>
      <c r="D31" s="583">
        <f t="shared" si="10"/>
        <v>1119.3412051975943</v>
      </c>
      <c r="E31" s="583">
        <f t="shared" si="9"/>
        <v>1441.8419874790275</v>
      </c>
      <c r="F31" s="583">
        <f t="shared" si="2"/>
        <v>202.04714895263433</v>
      </c>
      <c r="G31" s="583">
        <f t="shared" si="11"/>
        <v>260.26028654856088</v>
      </c>
      <c r="H31" s="583">
        <f t="shared" si="3"/>
        <v>161.63771916210746</v>
      </c>
      <c r="I31" s="583">
        <f t="shared" si="12"/>
        <v>208.2082292388487</v>
      </c>
      <c r="J31" s="583">
        <f t="shared" si="13"/>
        <v>2099.6739719157758</v>
      </c>
      <c r="K31" s="583">
        <f t="shared" si="14"/>
        <v>2274.6468029087573</v>
      </c>
      <c r="L31" s="584">
        <f t="shared" si="15"/>
        <v>2449.6196339017383</v>
      </c>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row>
    <row r="32" spans="1:52" ht="18" customHeight="1" x14ac:dyDescent="0.2">
      <c r="A32" s="582" t="s">
        <v>848</v>
      </c>
      <c r="B32" s="583">
        <v>1087.2104188310625</v>
      </c>
      <c r="C32" s="583">
        <f t="shared" si="0"/>
        <v>1400.4537881892441</v>
      </c>
      <c r="D32" s="583">
        <f t="shared" si="10"/>
        <v>1505.7864300810215</v>
      </c>
      <c r="E32" s="583">
        <f t="shared" si="9"/>
        <v>1939.6284966421031</v>
      </c>
      <c r="F32" s="583">
        <f t="shared" si="2"/>
        <v>271.80260470776562</v>
      </c>
      <c r="G32" s="583">
        <f t="shared" si="11"/>
        <v>350.11344704731101</v>
      </c>
      <c r="H32" s="583">
        <f t="shared" si="3"/>
        <v>217.44208376621251</v>
      </c>
      <c r="I32" s="583">
        <f t="shared" si="12"/>
        <v>280.09075763784881</v>
      </c>
      <c r="J32" s="583">
        <f t="shared" si="13"/>
        <v>2824.5726681231004</v>
      </c>
      <c r="K32" s="583">
        <f t="shared" si="14"/>
        <v>3059.9537238000257</v>
      </c>
      <c r="L32" s="584">
        <f t="shared" si="15"/>
        <v>3295.3347794769506</v>
      </c>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row>
    <row r="33" spans="1:52" ht="18" customHeight="1" x14ac:dyDescent="0.2">
      <c r="A33" s="582" t="s">
        <v>849</v>
      </c>
      <c r="B33" s="583">
        <v>981.13008376109985</v>
      </c>
      <c r="C33" s="583">
        <f t="shared" si="0"/>
        <v>1263.8099476520631</v>
      </c>
      <c r="D33" s="583">
        <f t="shared" si="10"/>
        <v>1358.8651660091234</v>
      </c>
      <c r="E33" s="583">
        <f t="shared" si="9"/>
        <v>1750.3767774981075</v>
      </c>
      <c r="F33" s="583">
        <f t="shared" si="2"/>
        <v>245.28252094027496</v>
      </c>
      <c r="G33" s="583">
        <f t="shared" si="11"/>
        <v>315.95248691301578</v>
      </c>
      <c r="H33" s="583">
        <f t="shared" si="3"/>
        <v>196.22601675221998</v>
      </c>
      <c r="I33" s="583">
        <f t="shared" si="12"/>
        <v>252.76198953041262</v>
      </c>
      <c r="J33" s="583">
        <f t="shared" si="13"/>
        <v>2548.9759576113374</v>
      </c>
      <c r="K33" s="583">
        <f t="shared" si="14"/>
        <v>2761.3906207456157</v>
      </c>
      <c r="L33" s="584">
        <f t="shared" si="15"/>
        <v>2973.8052838798935</v>
      </c>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row>
    <row r="34" spans="1:52" ht="18" customHeight="1" x14ac:dyDescent="0.2">
      <c r="A34" s="582" t="s">
        <v>610</v>
      </c>
      <c r="B34" s="583">
        <v>788.97042472364978</v>
      </c>
      <c r="C34" s="583">
        <f t="shared" si="0"/>
        <v>1016.2859009955837</v>
      </c>
      <c r="D34" s="583">
        <f t="shared" si="10"/>
        <v>1092.7240382422549</v>
      </c>
      <c r="E34" s="583">
        <f t="shared" si="9"/>
        <v>1407.5559728788833</v>
      </c>
      <c r="F34" s="583">
        <f t="shared" si="2"/>
        <v>197.24260618091245</v>
      </c>
      <c r="G34" s="583">
        <f t="shared" si="11"/>
        <v>254.07147524889592</v>
      </c>
      <c r="H34" s="583">
        <f t="shared" si="3"/>
        <v>157.79408494472995</v>
      </c>
      <c r="I34" s="583">
        <f t="shared" si="12"/>
        <v>203.2571801991167</v>
      </c>
      <c r="J34" s="583">
        <f t="shared" si="13"/>
        <v>2049.7451634320423</v>
      </c>
      <c r="K34" s="583">
        <f t="shared" si="14"/>
        <v>2220.5572603847127</v>
      </c>
      <c r="L34" s="584">
        <f t="shared" si="15"/>
        <v>2391.3693573373826</v>
      </c>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row>
    <row r="35" spans="1:52" ht="18" customHeight="1" x14ac:dyDescent="0.2">
      <c r="A35" s="582" t="s">
        <v>611</v>
      </c>
      <c r="B35" s="583">
        <v>947.30257435514989</v>
      </c>
      <c r="C35" s="583">
        <f t="shared" si="0"/>
        <v>1220.2361712496029</v>
      </c>
      <c r="D35" s="583">
        <f t="shared" si="10"/>
        <v>1312.0140654818827</v>
      </c>
      <c r="E35" s="583">
        <f t="shared" si="9"/>
        <v>1690.0270971806999</v>
      </c>
      <c r="F35" s="583">
        <f t="shared" si="2"/>
        <v>236.82564358878747</v>
      </c>
      <c r="G35" s="583">
        <f t="shared" si="11"/>
        <v>305.05904281240072</v>
      </c>
      <c r="H35" s="583">
        <f t="shared" si="3"/>
        <v>189.46051487102997</v>
      </c>
      <c r="I35" s="583">
        <f t="shared" si="12"/>
        <v>244.04723424992056</v>
      </c>
      <c r="J35" s="583">
        <f t="shared" si="13"/>
        <v>2461.0920881746792</v>
      </c>
      <c r="K35" s="583">
        <f t="shared" si="14"/>
        <v>2666.1830955225696</v>
      </c>
      <c r="L35" s="584">
        <f t="shared" si="15"/>
        <v>2871.274102870459</v>
      </c>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row>
    <row r="36" spans="1:52" ht="18" customHeight="1" x14ac:dyDescent="0.2">
      <c r="A36" s="582" t="s">
        <v>850</v>
      </c>
      <c r="B36" s="583">
        <v>947.30257435514989</v>
      </c>
      <c r="C36" s="583">
        <f t="shared" si="0"/>
        <v>1220.2361712496029</v>
      </c>
      <c r="D36" s="583">
        <f t="shared" si="10"/>
        <v>1312.0140654818827</v>
      </c>
      <c r="E36" s="583">
        <f t="shared" si="9"/>
        <v>1690.0270971806999</v>
      </c>
      <c r="F36" s="583">
        <f t="shared" si="2"/>
        <v>236.82564358878747</v>
      </c>
      <c r="G36" s="583">
        <f t="shared" si="11"/>
        <v>305.05904281240072</v>
      </c>
      <c r="H36" s="583">
        <f t="shared" si="3"/>
        <v>189.46051487102997</v>
      </c>
      <c r="I36" s="583">
        <f t="shared" si="12"/>
        <v>244.04723424992056</v>
      </c>
      <c r="J36" s="583">
        <f t="shared" si="13"/>
        <v>2461.0920881746792</v>
      </c>
      <c r="K36" s="583">
        <f t="shared" si="14"/>
        <v>2666.1830955225696</v>
      </c>
      <c r="L36" s="584">
        <f t="shared" si="15"/>
        <v>2871.274102870459</v>
      </c>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row>
    <row r="37" spans="1:52" ht="18" customHeight="1" x14ac:dyDescent="0.2">
      <c r="A37" s="582" t="s">
        <v>612</v>
      </c>
      <c r="B37" s="583">
        <v>663.10959686546232</v>
      </c>
      <c r="C37" s="583">
        <f t="shared" si="0"/>
        <v>854.16247934170997</v>
      </c>
      <c r="D37" s="583">
        <f t="shared" si="10"/>
        <v>918.40679165866527</v>
      </c>
      <c r="E37" s="583">
        <f t="shared" si="9"/>
        <v>1183.0150338882681</v>
      </c>
      <c r="F37" s="583">
        <f t="shared" si="2"/>
        <v>165.77739921636558</v>
      </c>
      <c r="G37" s="583">
        <f t="shared" si="11"/>
        <v>213.54061983542749</v>
      </c>
      <c r="H37" s="583">
        <f t="shared" si="3"/>
        <v>132.62191937309245</v>
      </c>
      <c r="I37" s="583">
        <f t="shared" si="12"/>
        <v>170.83249586834197</v>
      </c>
      <c r="J37" s="583">
        <f t="shared" si="13"/>
        <v>1722.758732656471</v>
      </c>
      <c r="K37" s="583">
        <f t="shared" si="14"/>
        <v>1866.3219603778439</v>
      </c>
      <c r="L37" s="584">
        <f t="shared" si="15"/>
        <v>2009.8851880992163</v>
      </c>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row>
    <row r="38" spans="1:52" ht="18" customHeight="1" x14ac:dyDescent="0.2">
      <c r="A38" s="582" t="s">
        <v>851</v>
      </c>
      <c r="B38" s="583">
        <v>1156.8501024712125</v>
      </c>
      <c r="C38" s="583">
        <f t="shared" si="0"/>
        <v>1490.1578207048697</v>
      </c>
      <c r="D38" s="583">
        <f t="shared" si="10"/>
        <v>1602.2373919226293</v>
      </c>
      <c r="E38" s="583">
        <f t="shared" si="9"/>
        <v>2063.8685816762445</v>
      </c>
      <c r="F38" s="583">
        <f t="shared" si="2"/>
        <v>289.21252561780312</v>
      </c>
      <c r="G38" s="583">
        <f t="shared" si="11"/>
        <v>372.53945517621742</v>
      </c>
      <c r="H38" s="583">
        <f t="shared" si="3"/>
        <v>231.37002049424251</v>
      </c>
      <c r="I38" s="583">
        <f t="shared" si="12"/>
        <v>298.03156414097396</v>
      </c>
      <c r="J38" s="583">
        <f t="shared" si="13"/>
        <v>3005.4965662202098</v>
      </c>
      <c r="K38" s="583">
        <f t="shared" si="14"/>
        <v>3255.9546134052275</v>
      </c>
      <c r="L38" s="584">
        <f t="shared" si="15"/>
        <v>3506.4126605902447</v>
      </c>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row>
    <row r="39" spans="1:52" ht="18" customHeight="1" x14ac:dyDescent="0.2">
      <c r="A39" s="582" t="s">
        <v>638</v>
      </c>
      <c r="B39" s="583">
        <v>755.08778573913753</v>
      </c>
      <c r="C39" s="583">
        <f t="shared" si="0"/>
        <v>972.64111126782632</v>
      </c>
      <c r="D39" s="583">
        <f t="shared" si="10"/>
        <v>1045.7965832487055</v>
      </c>
      <c r="E39" s="583">
        <f t="shared" si="9"/>
        <v>1347.1079391059393</v>
      </c>
      <c r="F39" s="583">
        <f t="shared" si="2"/>
        <v>188.77194643478438</v>
      </c>
      <c r="G39" s="583">
        <f t="shared" si="11"/>
        <v>243.16027781695658</v>
      </c>
      <c r="H39" s="583">
        <f t="shared" si="3"/>
        <v>151.01755714782752</v>
      </c>
      <c r="I39" s="583">
        <f t="shared" si="12"/>
        <v>194.52822225356527</v>
      </c>
      <c r="J39" s="583">
        <f t="shared" si="13"/>
        <v>1961.7180673502794</v>
      </c>
      <c r="K39" s="583">
        <f t="shared" si="14"/>
        <v>2125.1945729628028</v>
      </c>
      <c r="L39" s="584">
        <f t="shared" si="15"/>
        <v>2288.6710785753257</v>
      </c>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row>
    <row r="40" spans="1:52" ht="18" customHeight="1" x14ac:dyDescent="0.2">
      <c r="A40" s="582" t="s">
        <v>637</v>
      </c>
      <c r="B40" s="583">
        <v>867.64033333233738</v>
      </c>
      <c r="C40" s="583">
        <f t="shared" si="0"/>
        <v>1117.621916194917</v>
      </c>
      <c r="D40" s="583">
        <f t="shared" si="10"/>
        <v>1201.6818616652872</v>
      </c>
      <c r="E40" s="583">
        <f t="shared" si="9"/>
        <v>1547.90635392996</v>
      </c>
      <c r="F40" s="583">
        <f t="shared" si="2"/>
        <v>216.91008333308434</v>
      </c>
      <c r="G40" s="583">
        <f>F40*1.2881166</f>
        <v>279.40547904872926</v>
      </c>
      <c r="H40" s="583">
        <f t="shared" si="3"/>
        <v>173.52806666646748</v>
      </c>
      <c r="I40" s="583">
        <f>H40*1.2881166</f>
        <v>223.5243832389834</v>
      </c>
      <c r="J40" s="583">
        <f>B40*4.33*0.6</f>
        <v>2254.1295859974125</v>
      </c>
      <c r="K40" s="583">
        <f>B40*4.33*0.65</f>
        <v>2441.9737181638639</v>
      </c>
      <c r="L40" s="584">
        <f>B40*4.33*0.7</f>
        <v>2629.8178503303147</v>
      </c>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row>
    <row r="41" spans="1:52" ht="18" customHeight="1" x14ac:dyDescent="0.2">
      <c r="A41" s="582" t="s">
        <v>644</v>
      </c>
      <c r="B41" s="583">
        <v>1156.8501024712125</v>
      </c>
      <c r="C41" s="583">
        <f t="shared" si="0"/>
        <v>1490.1578207048697</v>
      </c>
      <c r="D41" s="583">
        <f t="shared" si="10"/>
        <v>1602.2373919226293</v>
      </c>
      <c r="E41" s="583">
        <f t="shared" si="9"/>
        <v>2063.8685816762445</v>
      </c>
      <c r="F41" s="583">
        <f t="shared" si="2"/>
        <v>289.21252561780312</v>
      </c>
      <c r="G41" s="583">
        <f>F41*1.2881166</f>
        <v>372.53945517621742</v>
      </c>
      <c r="H41" s="583">
        <f t="shared" si="3"/>
        <v>231.37002049424251</v>
      </c>
      <c r="I41" s="583">
        <f>H41*1.2881166</f>
        <v>298.03156414097396</v>
      </c>
      <c r="J41" s="583">
        <f>B41*4.33*0.6</f>
        <v>3005.4965662202098</v>
      </c>
      <c r="K41" s="583">
        <f>B41*4.33*0.65</f>
        <v>3255.9546134052275</v>
      </c>
      <c r="L41" s="584">
        <f>B41*4.33*0.7</f>
        <v>3506.4126605902447</v>
      </c>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row>
    <row r="42" spans="1:52" ht="18" customHeight="1" x14ac:dyDescent="0.2">
      <c r="A42" s="582" t="s">
        <v>613</v>
      </c>
      <c r="B42" s="583">
        <v>952.87066178996247</v>
      </c>
      <c r="C42" s="583">
        <f t="shared" si="0"/>
        <v>1227.4085171046363</v>
      </c>
      <c r="D42" s="583">
        <f t="shared" si="10"/>
        <v>1319.725866579098</v>
      </c>
      <c r="E42" s="583">
        <f t="shared" si="9"/>
        <v>1699.9607961899212</v>
      </c>
      <c r="F42" s="583">
        <f t="shared" si="2"/>
        <v>238.21766544749062</v>
      </c>
      <c r="G42" s="583">
        <f t="shared" si="11"/>
        <v>306.85212927615908</v>
      </c>
      <c r="H42" s="583">
        <f t="shared" si="3"/>
        <v>190.57413235799248</v>
      </c>
      <c r="I42" s="583">
        <f t="shared" si="12"/>
        <v>245.48170342092726</v>
      </c>
      <c r="J42" s="583">
        <f t="shared" si="13"/>
        <v>2475.5579793303223</v>
      </c>
      <c r="K42" s="583">
        <f t="shared" si="14"/>
        <v>2681.8544776078493</v>
      </c>
      <c r="L42" s="584">
        <f t="shared" si="15"/>
        <v>2888.1509758853758</v>
      </c>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row>
    <row r="43" spans="1:52" ht="18" customHeight="1" x14ac:dyDescent="0.2">
      <c r="A43" s="582" t="s">
        <v>614</v>
      </c>
      <c r="B43" s="583">
        <v>881.65635313094367</v>
      </c>
      <c r="C43" s="583">
        <f t="shared" ref="C43:C59" si="16">B43*1.2881166</f>
        <v>1135.6761839634305</v>
      </c>
      <c r="D43" s="583">
        <f t="shared" si="10"/>
        <v>1221.094049086357</v>
      </c>
      <c r="E43" s="583">
        <f t="shared" si="9"/>
        <v>1572.9115147893513</v>
      </c>
      <c r="F43" s="583">
        <f t="shared" ref="F43:F59" si="17">B43/4</f>
        <v>220.41408828273592</v>
      </c>
      <c r="G43" s="583">
        <f t="shared" si="11"/>
        <v>283.91904599085763</v>
      </c>
      <c r="H43" s="583">
        <f t="shared" ref="H43:H59" si="18">B43/5</f>
        <v>176.33127062618874</v>
      </c>
      <c r="I43" s="583">
        <f t="shared" si="12"/>
        <v>227.1352367926861</v>
      </c>
      <c r="J43" s="583">
        <f t="shared" si="13"/>
        <v>2290.5432054341918</v>
      </c>
      <c r="K43" s="583">
        <f t="shared" si="14"/>
        <v>2481.421805887041</v>
      </c>
      <c r="L43" s="584">
        <f t="shared" si="15"/>
        <v>2672.3004063398903</v>
      </c>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row>
    <row r="44" spans="1:52" ht="18" customHeight="1" x14ac:dyDescent="0.2">
      <c r="A44" s="582" t="s">
        <v>615</v>
      </c>
      <c r="B44" s="583">
        <v>1247.1964558194372</v>
      </c>
      <c r="C44" s="583">
        <f t="shared" si="16"/>
        <v>1606.5344582021837</v>
      </c>
      <c r="D44" s="583">
        <f t="shared" si="10"/>
        <v>1727.3670913099206</v>
      </c>
      <c r="E44" s="583">
        <f t="shared" si="9"/>
        <v>2225.0502246100245</v>
      </c>
      <c r="F44" s="583">
        <f t="shared" si="17"/>
        <v>311.79911395485931</v>
      </c>
      <c r="G44" s="583">
        <f t="shared" si="11"/>
        <v>401.63361455054593</v>
      </c>
      <c r="H44" s="583">
        <f t="shared" si="18"/>
        <v>249.43929116388745</v>
      </c>
      <c r="I44" s="583">
        <f t="shared" si="12"/>
        <v>321.30689164043673</v>
      </c>
      <c r="J44" s="583">
        <f t="shared" si="13"/>
        <v>3240.2163922188979</v>
      </c>
      <c r="K44" s="583">
        <f t="shared" si="14"/>
        <v>3510.2344249038065</v>
      </c>
      <c r="L44" s="584">
        <f t="shared" si="15"/>
        <v>3780.2524575887142</v>
      </c>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row>
    <row r="45" spans="1:52" ht="18" customHeight="1" x14ac:dyDescent="0.2">
      <c r="A45" s="582" t="s">
        <v>616</v>
      </c>
      <c r="B45" s="583">
        <v>873.03200611574982</v>
      </c>
      <c r="C45" s="583">
        <f t="shared" si="16"/>
        <v>1124.5670194089989</v>
      </c>
      <c r="D45" s="583">
        <f t="shared" si="10"/>
        <v>1209.1493284703135</v>
      </c>
      <c r="E45" s="583">
        <f t="shared" si="9"/>
        <v>1557.5253218814635</v>
      </c>
      <c r="F45" s="583">
        <f t="shared" si="17"/>
        <v>218.25800152893746</v>
      </c>
      <c r="G45" s="583">
        <f t="shared" si="11"/>
        <v>281.14175485224973</v>
      </c>
      <c r="H45" s="583">
        <f t="shared" si="18"/>
        <v>174.60640122314996</v>
      </c>
      <c r="I45" s="583">
        <f t="shared" si="12"/>
        <v>224.91340388179975</v>
      </c>
      <c r="J45" s="583">
        <f t="shared" si="13"/>
        <v>2268.1371518887181</v>
      </c>
      <c r="K45" s="583">
        <f t="shared" si="14"/>
        <v>2457.148581212778</v>
      </c>
      <c r="L45" s="584">
        <f t="shared" si="15"/>
        <v>2646.1600105368379</v>
      </c>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row>
    <row r="46" spans="1:52" ht="18" customHeight="1" x14ac:dyDescent="0.2">
      <c r="A46" s="582" t="s">
        <v>553</v>
      </c>
      <c r="B46" s="583">
        <v>743.59878156671243</v>
      </c>
      <c r="C46" s="583">
        <f t="shared" si="16"/>
        <v>957.84193427585626</v>
      </c>
      <c r="D46" s="583">
        <f t="shared" si="10"/>
        <v>1029.8843124698967</v>
      </c>
      <c r="E46" s="583">
        <f t="shared" si="9"/>
        <v>1326.6110789720608</v>
      </c>
      <c r="F46" s="583">
        <f t="shared" si="17"/>
        <v>185.89969539167811</v>
      </c>
      <c r="G46" s="583">
        <f t="shared" si="11"/>
        <v>239.46048356896407</v>
      </c>
      <c r="H46" s="583">
        <f t="shared" si="18"/>
        <v>148.71975631334249</v>
      </c>
      <c r="I46" s="583">
        <f t="shared" si="12"/>
        <v>191.56838685517124</v>
      </c>
      <c r="J46" s="583">
        <f t="shared" si="13"/>
        <v>1931.869634510319</v>
      </c>
      <c r="K46" s="583">
        <f t="shared" si="14"/>
        <v>2092.8587707195124</v>
      </c>
      <c r="L46" s="584">
        <f t="shared" si="15"/>
        <v>2253.8479069287055</v>
      </c>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row>
    <row r="47" spans="1:52" ht="18" customHeight="1" x14ac:dyDescent="0.2">
      <c r="A47" s="582" t="s">
        <v>617</v>
      </c>
      <c r="B47" s="583">
        <v>1156.8501024712125</v>
      </c>
      <c r="C47" s="583">
        <f t="shared" si="16"/>
        <v>1490.1578207048697</v>
      </c>
      <c r="D47" s="583">
        <f t="shared" si="10"/>
        <v>1602.2373919226293</v>
      </c>
      <c r="E47" s="583">
        <f t="shared" si="9"/>
        <v>2063.8685816762445</v>
      </c>
      <c r="F47" s="583">
        <f t="shared" si="17"/>
        <v>289.21252561780312</v>
      </c>
      <c r="G47" s="583">
        <f t="shared" si="11"/>
        <v>372.53945517621742</v>
      </c>
      <c r="H47" s="583">
        <f t="shared" si="18"/>
        <v>231.37002049424251</v>
      </c>
      <c r="I47" s="583">
        <f t="shared" si="12"/>
        <v>298.03156414097396</v>
      </c>
      <c r="J47" s="583">
        <f t="shared" si="13"/>
        <v>3005.4965662202098</v>
      </c>
      <c r="K47" s="583">
        <f t="shared" si="14"/>
        <v>3255.9546134052275</v>
      </c>
      <c r="L47" s="584">
        <f t="shared" si="15"/>
        <v>3506.4126605902447</v>
      </c>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row>
    <row r="48" spans="1:52" ht="18" customHeight="1" x14ac:dyDescent="0.2">
      <c r="A48" s="582" t="s">
        <v>618</v>
      </c>
      <c r="B48" s="583">
        <v>581.10986171159993</v>
      </c>
      <c r="C48" s="583">
        <f t="shared" si="16"/>
        <v>748.53725929441623</v>
      </c>
      <c r="D48" s="583">
        <f t="shared" si="10"/>
        <v>804.8371584705659</v>
      </c>
      <c r="E48" s="583">
        <f t="shared" si="9"/>
        <v>1036.7241041227664</v>
      </c>
      <c r="F48" s="583">
        <f t="shared" si="17"/>
        <v>145.27746542789998</v>
      </c>
      <c r="G48" s="583">
        <f t="shared" si="11"/>
        <v>187.13431482360406</v>
      </c>
      <c r="H48" s="583">
        <f t="shared" si="18"/>
        <v>116.22197234231999</v>
      </c>
      <c r="I48" s="583">
        <f t="shared" si="12"/>
        <v>149.70745185888325</v>
      </c>
      <c r="J48" s="583">
        <f t="shared" si="13"/>
        <v>1509.7234207267365</v>
      </c>
      <c r="K48" s="583">
        <f t="shared" si="14"/>
        <v>1635.533705787298</v>
      </c>
      <c r="L48" s="584">
        <f t="shared" si="15"/>
        <v>1761.3439908478592</v>
      </c>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row>
    <row r="49" spans="1:52" ht="18" customHeight="1" x14ac:dyDescent="0.2">
      <c r="A49" s="582" t="s">
        <v>863</v>
      </c>
      <c r="B49" s="583">
        <v>1614.5468896127998</v>
      </c>
      <c r="C49" s="583">
        <f t="shared" si="16"/>
        <v>2079.7246499886151</v>
      </c>
      <c r="D49" s="583">
        <f t="shared" si="10"/>
        <v>2236.1474421137277</v>
      </c>
      <c r="E49" s="583">
        <f t="shared" si="9"/>
        <v>2880.4186402342316</v>
      </c>
      <c r="F49" s="583">
        <f t="shared" si="17"/>
        <v>403.63672240319994</v>
      </c>
      <c r="G49" s="583">
        <f t="shared" si="11"/>
        <v>519.93116249715376</v>
      </c>
      <c r="H49" s="583">
        <f t="shared" si="18"/>
        <v>322.90937792255994</v>
      </c>
      <c r="I49" s="583">
        <f t="shared" si="12"/>
        <v>415.94492999772297</v>
      </c>
      <c r="J49" s="583">
        <f t="shared" si="13"/>
        <v>4194.5928192140536</v>
      </c>
      <c r="K49" s="583">
        <f t="shared" si="14"/>
        <v>4544.1422208152253</v>
      </c>
      <c r="L49" s="584">
        <f t="shared" si="15"/>
        <v>4893.6916224163961</v>
      </c>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row>
    <row r="50" spans="1:52" ht="18" customHeight="1" x14ac:dyDescent="0.2">
      <c r="A50" s="582" t="s">
        <v>619</v>
      </c>
      <c r="B50" s="583">
        <v>1286.2723011045373</v>
      </c>
      <c r="C50" s="583">
        <f t="shared" si="16"/>
        <v>1656.8687031729528</v>
      </c>
      <c r="D50" s="583">
        <f t="shared" si="10"/>
        <v>1781.4871370297842</v>
      </c>
      <c r="E50" s="583">
        <f t="shared" si="9"/>
        <v>2294.7631538945398</v>
      </c>
      <c r="F50" s="583">
        <f t="shared" si="17"/>
        <v>321.56807527613432</v>
      </c>
      <c r="G50" s="583">
        <f t="shared" si="11"/>
        <v>414.2171757932382</v>
      </c>
      <c r="H50" s="583">
        <f t="shared" si="18"/>
        <v>257.25446022090745</v>
      </c>
      <c r="I50" s="583">
        <f t="shared" si="12"/>
        <v>331.37374063459055</v>
      </c>
      <c r="J50" s="583">
        <f t="shared" si="13"/>
        <v>3341.7354382695876</v>
      </c>
      <c r="K50" s="583">
        <f t="shared" si="14"/>
        <v>3620.2133914587203</v>
      </c>
      <c r="L50" s="584">
        <f t="shared" si="15"/>
        <v>3898.691344647852</v>
      </c>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row>
    <row r="51" spans="1:52" ht="18" customHeight="1" x14ac:dyDescent="0.2">
      <c r="A51" s="582" t="s">
        <v>620</v>
      </c>
      <c r="B51" s="583">
        <v>1015.3214483855623</v>
      </c>
      <c r="C51" s="583">
        <f t="shared" si="16"/>
        <v>1307.8524120014861</v>
      </c>
      <c r="D51" s="583">
        <f t="shared" si="10"/>
        <v>1406.2202060140039</v>
      </c>
      <c r="E51" s="583">
        <f t="shared" si="9"/>
        <v>1811.3755906220581</v>
      </c>
      <c r="F51" s="583">
        <f t="shared" si="17"/>
        <v>253.83036209639059</v>
      </c>
      <c r="G51" s="583">
        <f t="shared" si="11"/>
        <v>326.96310300037152</v>
      </c>
      <c r="H51" s="583">
        <f t="shared" si="18"/>
        <v>203.06428967711247</v>
      </c>
      <c r="I51" s="583">
        <f t="shared" si="12"/>
        <v>261.57048240029718</v>
      </c>
      <c r="J51" s="583">
        <f t="shared" si="13"/>
        <v>2637.805122905691</v>
      </c>
      <c r="K51" s="583">
        <f t="shared" si="14"/>
        <v>2857.6222164811652</v>
      </c>
      <c r="L51" s="584">
        <f t="shared" si="15"/>
        <v>3077.4393100566394</v>
      </c>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row>
    <row r="52" spans="1:52" ht="18" customHeight="1" x14ac:dyDescent="0.2">
      <c r="A52" s="582" t="s">
        <v>621</v>
      </c>
      <c r="B52" s="583">
        <v>1301.0139504121501</v>
      </c>
      <c r="C52" s="583">
        <f t="shared" si="16"/>
        <v>1675.8576663574672</v>
      </c>
      <c r="D52" s="583">
        <f t="shared" si="10"/>
        <v>1801.9043213208279</v>
      </c>
      <c r="E52" s="583">
        <f t="shared" si="9"/>
        <v>2321.0628679050924</v>
      </c>
      <c r="F52" s="583">
        <f t="shared" si="17"/>
        <v>325.25348760303751</v>
      </c>
      <c r="G52" s="583">
        <f t="shared" si="11"/>
        <v>418.96441658936681</v>
      </c>
      <c r="H52" s="583">
        <f t="shared" si="18"/>
        <v>260.20279008243</v>
      </c>
      <c r="I52" s="583">
        <f t="shared" si="12"/>
        <v>335.17153327149344</v>
      </c>
      <c r="J52" s="583">
        <f t="shared" si="13"/>
        <v>3380.0342431707659</v>
      </c>
      <c r="K52" s="583">
        <f t="shared" si="14"/>
        <v>3661.7037634349967</v>
      </c>
      <c r="L52" s="584">
        <f t="shared" si="15"/>
        <v>3943.3732836992267</v>
      </c>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row>
    <row r="53" spans="1:52" ht="18" customHeight="1" x14ac:dyDescent="0.2">
      <c r="A53" s="582" t="s">
        <v>622</v>
      </c>
      <c r="B53" s="583">
        <v>976.59843240326234</v>
      </c>
      <c r="C53" s="583">
        <f t="shared" si="16"/>
        <v>1257.9726523126201</v>
      </c>
      <c r="D53" s="583">
        <f t="shared" si="10"/>
        <v>1352.5888288785184</v>
      </c>
      <c r="E53" s="583">
        <f t="shared" si="9"/>
        <v>1742.2921234529788</v>
      </c>
      <c r="F53" s="583">
        <f t="shared" si="17"/>
        <v>244.14960810081558</v>
      </c>
      <c r="G53" s="583">
        <f t="shared" si="11"/>
        <v>314.49316307815502</v>
      </c>
      <c r="H53" s="583">
        <f t="shared" si="18"/>
        <v>195.31968648065248</v>
      </c>
      <c r="I53" s="583">
        <f t="shared" si="12"/>
        <v>251.59453046252403</v>
      </c>
      <c r="J53" s="583">
        <f t="shared" si="13"/>
        <v>2537.2027273836757</v>
      </c>
      <c r="K53" s="583">
        <f t="shared" si="14"/>
        <v>2748.636287998982</v>
      </c>
      <c r="L53" s="584">
        <f t="shared" si="15"/>
        <v>2960.0698486142883</v>
      </c>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row>
    <row r="54" spans="1:52" ht="18" customHeight="1" x14ac:dyDescent="0.2">
      <c r="A54" s="582" t="s">
        <v>623</v>
      </c>
      <c r="B54" s="583">
        <v>968.69285083739976</v>
      </c>
      <c r="C54" s="583">
        <f t="shared" si="16"/>
        <v>1247.7893414649784</v>
      </c>
      <c r="D54" s="583">
        <f t="shared" si="10"/>
        <v>1341.6395984097987</v>
      </c>
      <c r="E54" s="583">
        <f t="shared" si="9"/>
        <v>1728.1882379289952</v>
      </c>
      <c r="F54" s="583">
        <f t="shared" si="17"/>
        <v>242.17321270934994</v>
      </c>
      <c r="G54" s="583">
        <f t="shared" si="11"/>
        <v>311.9473353662446</v>
      </c>
      <c r="H54" s="583">
        <f t="shared" si="18"/>
        <v>193.73857016747996</v>
      </c>
      <c r="I54" s="583">
        <f t="shared" si="12"/>
        <v>249.55786829299572</v>
      </c>
      <c r="J54" s="583">
        <f t="shared" si="13"/>
        <v>2516.6640264755647</v>
      </c>
      <c r="K54" s="583">
        <f t="shared" si="14"/>
        <v>2726.3860286818622</v>
      </c>
      <c r="L54" s="584">
        <f t="shared" si="15"/>
        <v>2936.1080308881587</v>
      </c>
      <c r="M54" s="566"/>
      <c r="N54" s="585"/>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row>
    <row r="55" spans="1:52" ht="18" customHeight="1" x14ac:dyDescent="0.2">
      <c r="A55" s="582" t="s">
        <v>624</v>
      </c>
      <c r="B55" s="583">
        <v>675.80042585054991</v>
      </c>
      <c r="C55" s="583">
        <f t="shared" si="16"/>
        <v>870.50974682516244</v>
      </c>
      <c r="D55" s="583">
        <f t="shared" si="10"/>
        <v>935.98358980301168</v>
      </c>
      <c r="E55" s="583">
        <f t="shared" si="9"/>
        <v>1205.6559993528501</v>
      </c>
      <c r="F55" s="583">
        <f t="shared" si="17"/>
        <v>168.95010646263748</v>
      </c>
      <c r="G55" s="583">
        <f>F55*1.2881166</f>
        <v>217.62743670629061</v>
      </c>
      <c r="H55" s="583">
        <f t="shared" si="18"/>
        <v>135.16008517010999</v>
      </c>
      <c r="I55" s="583">
        <f t="shared" si="12"/>
        <v>174.10194936503251</v>
      </c>
      <c r="J55" s="583">
        <f>B55*4.33*0.6</f>
        <v>1755.7295063597287</v>
      </c>
      <c r="K55" s="583">
        <f>B55*4.33*0.65</f>
        <v>1902.040298556373</v>
      </c>
      <c r="L55" s="584">
        <f>B55*4.33*0.7</f>
        <v>2048.3510907530167</v>
      </c>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row>
    <row r="56" spans="1:52" ht="18" customHeight="1" x14ac:dyDescent="0.2">
      <c r="A56" s="582" t="s">
        <v>625</v>
      </c>
      <c r="B56" s="583">
        <v>496.75058059526236</v>
      </c>
      <c r="C56" s="583">
        <f t="shared" si="16"/>
        <v>639.87266892439527</v>
      </c>
      <c r="D56" s="583">
        <f t="shared" si="10"/>
        <v>687.99955412443842</v>
      </c>
      <c r="E56" s="583">
        <f t="shared" si="9"/>
        <v>886.22364646028757</v>
      </c>
      <c r="F56" s="583">
        <f t="shared" si="17"/>
        <v>124.18764514881559</v>
      </c>
      <c r="G56" s="583">
        <f>F56*1.2881166</f>
        <v>159.96816723109882</v>
      </c>
      <c r="H56" s="583">
        <f t="shared" si="18"/>
        <v>99.350116119052473</v>
      </c>
      <c r="I56" s="583">
        <f t="shared" si="12"/>
        <v>127.97453378487906</v>
      </c>
      <c r="J56" s="583">
        <f>B56*4.33*0.6</f>
        <v>1290.5580083864916</v>
      </c>
      <c r="K56" s="583">
        <f>B56*4.33*0.65</f>
        <v>1398.1045090853659</v>
      </c>
      <c r="L56" s="584">
        <f>B56*4.33*0.7</f>
        <v>1505.6510097842402</v>
      </c>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row>
    <row r="57" spans="1:52" ht="18" customHeight="1" x14ac:dyDescent="0.2">
      <c r="A57" s="582" t="s">
        <v>864</v>
      </c>
      <c r="B57" s="583">
        <v>738.07479779474977</v>
      </c>
      <c r="C57" s="583">
        <f t="shared" si="16"/>
        <v>950.72639908106055</v>
      </c>
      <c r="D57" s="583">
        <f t="shared" si="10"/>
        <v>1022.2335949457284</v>
      </c>
      <c r="E57" s="583">
        <f t="shared" si="9"/>
        <v>1316.756062727269</v>
      </c>
      <c r="F57" s="583">
        <f t="shared" si="17"/>
        <v>184.51869944868744</v>
      </c>
      <c r="G57" s="583">
        <f>F57*1.2881166</f>
        <v>237.68159977026514</v>
      </c>
      <c r="H57" s="583">
        <f t="shared" si="18"/>
        <v>147.61495955894995</v>
      </c>
      <c r="I57" s="583">
        <f t="shared" si="12"/>
        <v>190.14527981621211</v>
      </c>
      <c r="J57" s="583">
        <f>B57*4.33*0.6</f>
        <v>1917.5183246707597</v>
      </c>
      <c r="K57" s="583">
        <f>B57*4.33*0.65</f>
        <v>2077.3115183933232</v>
      </c>
      <c r="L57" s="584">
        <f>B57*4.33*0.7</f>
        <v>2237.1047121158863</v>
      </c>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row>
    <row r="58" spans="1:52" ht="18" customHeight="1" x14ac:dyDescent="0.2">
      <c r="A58" s="582" t="s">
        <v>865</v>
      </c>
      <c r="B58" s="583">
        <v>455.35929301053744</v>
      </c>
      <c r="C58" s="583">
        <f t="shared" si="16"/>
        <v>586.55586429113725</v>
      </c>
      <c r="D58" s="583">
        <f t="shared" si="10"/>
        <v>630.67262081959439</v>
      </c>
      <c r="E58" s="583">
        <f t="shared" si="9"/>
        <v>812.37987204322508</v>
      </c>
      <c r="F58" s="583">
        <f t="shared" si="17"/>
        <v>113.83982325263436</v>
      </c>
      <c r="G58" s="583">
        <f>F58*1.2881166</f>
        <v>146.63896607278431</v>
      </c>
      <c r="H58" s="583">
        <f t="shared" si="18"/>
        <v>91.071858602107483</v>
      </c>
      <c r="I58" s="583">
        <f t="shared" si="12"/>
        <v>117.31117285822744</v>
      </c>
      <c r="J58" s="583">
        <f>B58*4.33*0.6</f>
        <v>1183.0234432413763</v>
      </c>
      <c r="K58" s="583">
        <f>B58*4.33*0.65</f>
        <v>1281.6087301781577</v>
      </c>
      <c r="L58" s="584">
        <f>B58*4.33*0.7</f>
        <v>1380.194017114939</v>
      </c>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row>
    <row r="59" spans="1:52" ht="18" customHeight="1" thickBot="1" x14ac:dyDescent="0.25">
      <c r="A59" s="586" t="s">
        <v>852</v>
      </c>
      <c r="B59" s="587">
        <v>513.7635685396499</v>
      </c>
      <c r="C59" s="587">
        <f t="shared" si="16"/>
        <v>661.78738111116081</v>
      </c>
      <c r="D59" s="587">
        <f t="shared" si="10"/>
        <v>711.56254242741511</v>
      </c>
      <c r="E59" s="587">
        <f t="shared" si="9"/>
        <v>916.57552283895768</v>
      </c>
      <c r="F59" s="587">
        <f t="shared" si="17"/>
        <v>128.44089213491247</v>
      </c>
      <c r="G59" s="587">
        <f>F59*1.2881166</f>
        <v>165.4468452777902</v>
      </c>
      <c r="H59" s="587">
        <f t="shared" si="18"/>
        <v>102.75271370792998</v>
      </c>
      <c r="I59" s="587">
        <f t="shared" si="12"/>
        <v>132.35747622223215</v>
      </c>
      <c r="J59" s="587"/>
      <c r="K59" s="587"/>
      <c r="L59" s="588"/>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row>
    <row r="60" spans="1:52" ht="18" customHeight="1" x14ac:dyDescent="0.2">
      <c r="A60" s="589"/>
      <c r="B60" s="590"/>
      <c r="C60" s="590"/>
      <c r="D60" s="590"/>
      <c r="E60" s="590"/>
      <c r="F60" s="590"/>
      <c r="G60" s="590"/>
      <c r="H60" s="590"/>
      <c r="I60" s="590"/>
      <c r="J60" s="590"/>
      <c r="K60" s="590"/>
      <c r="L60" s="590"/>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row>
    <row r="61" spans="1:52" ht="18" customHeight="1" x14ac:dyDescent="0.2">
      <c r="A61" s="589" t="s">
        <v>866</v>
      </c>
      <c r="B61" s="589"/>
      <c r="C61" s="589"/>
      <c r="D61" s="589"/>
      <c r="E61" s="589"/>
      <c r="F61" s="589"/>
      <c r="G61" s="589"/>
      <c r="H61" s="589"/>
      <c r="I61" s="589"/>
      <c r="J61" s="589"/>
      <c r="K61" s="589"/>
      <c r="L61" s="589"/>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row>
    <row r="62" spans="1:52" ht="18" customHeight="1" x14ac:dyDescent="0.2">
      <c r="A62" s="589" t="s">
        <v>867</v>
      </c>
      <c r="B62" s="589"/>
      <c r="C62" s="589"/>
      <c r="D62" s="589"/>
      <c r="E62" s="589"/>
      <c r="F62" s="589"/>
      <c r="G62" s="589"/>
      <c r="H62" s="589"/>
      <c r="I62" s="589"/>
      <c r="J62" s="589"/>
      <c r="K62" s="589"/>
      <c r="L62" s="589"/>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row>
    <row r="63" spans="1:52" ht="18" customHeight="1" x14ac:dyDescent="0.2">
      <c r="A63" s="589" t="s">
        <v>868</v>
      </c>
      <c r="B63" s="589"/>
      <c r="C63" s="589"/>
      <c r="D63" s="589"/>
      <c r="E63" s="589"/>
      <c r="F63" s="589"/>
      <c r="G63" s="589"/>
      <c r="H63" s="589"/>
      <c r="I63" s="589"/>
      <c r="J63" s="589"/>
      <c r="K63" s="589"/>
      <c r="L63" s="589"/>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row>
    <row r="64" spans="1:52" ht="18" customHeight="1" x14ac:dyDescent="0.2">
      <c r="A64" s="589" t="s">
        <v>869</v>
      </c>
      <c r="B64" s="591"/>
      <c r="C64" s="591"/>
      <c r="D64" s="591"/>
      <c r="E64" s="591"/>
      <c r="F64" s="591"/>
      <c r="G64" s="591"/>
      <c r="H64" s="591"/>
      <c r="I64" s="591"/>
      <c r="J64" s="591"/>
      <c r="K64" s="591"/>
      <c r="L64" s="591"/>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row>
    <row r="65" spans="1:52" ht="18" customHeight="1" x14ac:dyDescent="0.2">
      <c r="A65" s="589" t="s">
        <v>870</v>
      </c>
      <c r="B65" s="591"/>
      <c r="C65" s="591"/>
      <c r="D65" s="591"/>
      <c r="E65" s="591"/>
      <c r="F65" s="591"/>
      <c r="G65" s="591"/>
      <c r="H65" s="591"/>
      <c r="I65" s="591"/>
      <c r="J65" s="591"/>
      <c r="K65" s="591"/>
      <c r="L65" s="591"/>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row>
    <row r="66" spans="1:52" ht="18" customHeight="1" x14ac:dyDescent="0.2">
      <c r="A66" s="589" t="s">
        <v>871</v>
      </c>
      <c r="B66" s="591"/>
      <c r="C66" s="591"/>
      <c r="D66" s="591"/>
      <c r="E66" s="591"/>
      <c r="F66" s="591"/>
      <c r="G66" s="591"/>
      <c r="H66" s="591"/>
      <c r="I66" s="591"/>
      <c r="J66" s="591"/>
      <c r="K66" s="591"/>
      <c r="L66" s="591"/>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row>
    <row r="67" spans="1:52" ht="18" customHeight="1" x14ac:dyDescent="0.2">
      <c r="A67" s="589" t="s">
        <v>853</v>
      </c>
      <c r="B67" s="591"/>
      <c r="C67" s="591"/>
      <c r="D67" s="591"/>
      <c r="E67" s="591"/>
      <c r="F67" s="591"/>
      <c r="G67" s="591"/>
      <c r="H67" s="591"/>
      <c r="I67" s="591"/>
      <c r="J67" s="591"/>
      <c r="K67" s="591"/>
      <c r="L67" s="591"/>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row>
    <row r="68" spans="1:52" x14ac:dyDescent="0.2">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row>
    <row r="69" spans="1:52" x14ac:dyDescent="0.2">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row>
    <row r="70" spans="1:52" x14ac:dyDescent="0.2">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row>
    <row r="71" spans="1:52" x14ac:dyDescent="0.2">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row>
    <row r="72" spans="1:52" x14ac:dyDescent="0.2">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row>
    <row r="73" spans="1:52" x14ac:dyDescent="0.2">
      <c r="A73" s="566"/>
      <c r="B73" s="566"/>
      <c r="C73" s="566"/>
      <c r="D73" s="566"/>
      <c r="E73" s="566"/>
      <c r="F73" s="566"/>
      <c r="G73" s="566"/>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row>
    <row r="74" spans="1:52" x14ac:dyDescent="0.2">
      <c r="A74" s="566"/>
      <c r="B74" s="566"/>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row>
    <row r="75" spans="1:52" x14ac:dyDescent="0.2">
      <c r="A75" s="566"/>
      <c r="B75" s="566"/>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row>
    <row r="76" spans="1:52" x14ac:dyDescent="0.2">
      <c r="A76" s="566"/>
      <c r="B76" s="566"/>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row>
    <row r="77" spans="1:52" x14ac:dyDescent="0.2">
      <c r="A77" s="566"/>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row>
    <row r="78" spans="1:52" x14ac:dyDescent="0.2">
      <c r="A78" s="566"/>
      <c r="B78" s="566"/>
      <c r="C78" s="566"/>
      <c r="D78" s="566"/>
      <c r="E78" s="566"/>
      <c r="F78" s="566"/>
      <c r="G78" s="566"/>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row>
    <row r="79" spans="1:52" x14ac:dyDescent="0.2">
      <c r="A79" s="566"/>
      <c r="B79" s="566"/>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row>
    <row r="80" spans="1:52" x14ac:dyDescent="0.2">
      <c r="A80" s="566"/>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row>
    <row r="81" spans="1:52" x14ac:dyDescent="0.2">
      <c r="A81" s="566"/>
      <c r="B81" s="566"/>
      <c r="C81" s="566"/>
      <c r="D81" s="566"/>
      <c r="E81" s="566"/>
      <c r="F81" s="566"/>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row>
    <row r="82" spans="1:52" x14ac:dyDescent="0.2">
      <c r="A82" s="566"/>
      <c r="B82" s="566"/>
      <c r="C82" s="566"/>
      <c r="D82" s="566"/>
      <c r="E82" s="566"/>
      <c r="F82" s="566"/>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row>
    <row r="83" spans="1:52" x14ac:dyDescent="0.2">
      <c r="A83" s="566"/>
      <c r="B83" s="566"/>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6"/>
      <c r="AQ83" s="566"/>
      <c r="AR83" s="566"/>
      <c r="AS83" s="566"/>
      <c r="AT83" s="566"/>
      <c r="AU83" s="566"/>
      <c r="AV83" s="566"/>
      <c r="AW83" s="566"/>
      <c r="AX83" s="566"/>
      <c r="AY83" s="566"/>
      <c r="AZ83" s="566"/>
    </row>
    <row r="84" spans="1:52" x14ac:dyDescent="0.2">
      <c r="A84" s="566"/>
      <c r="B84" s="566"/>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6"/>
      <c r="AQ84" s="566"/>
      <c r="AR84" s="566"/>
      <c r="AS84" s="566"/>
      <c r="AT84" s="566"/>
      <c r="AU84" s="566"/>
      <c r="AV84" s="566"/>
      <c r="AW84" s="566"/>
      <c r="AX84" s="566"/>
      <c r="AY84" s="566"/>
      <c r="AZ84" s="566"/>
    </row>
    <row r="85" spans="1:52" x14ac:dyDescent="0.2">
      <c r="A85" s="566"/>
      <c r="B85" s="566"/>
      <c r="C85" s="566"/>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6"/>
      <c r="AZ85" s="566"/>
    </row>
    <row r="86" spans="1:52" x14ac:dyDescent="0.2">
      <c r="A86" s="566"/>
      <c r="B86" s="566"/>
      <c r="C86" s="566"/>
      <c r="D86" s="566"/>
      <c r="E86" s="566"/>
      <c r="F86" s="566"/>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6"/>
      <c r="AZ86" s="566"/>
    </row>
    <row r="87" spans="1:52" x14ac:dyDescent="0.2">
      <c r="A87" s="566"/>
      <c r="B87" s="566"/>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6"/>
      <c r="AZ87" s="566"/>
    </row>
    <row r="88" spans="1:52" x14ac:dyDescent="0.2">
      <c r="A88" s="566"/>
      <c r="B88" s="566"/>
      <c r="C88" s="566"/>
      <c r="D88" s="566"/>
      <c r="E88" s="566"/>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6"/>
      <c r="AZ88" s="566"/>
    </row>
    <row r="89" spans="1:52" x14ac:dyDescent="0.2">
      <c r="A89" s="566"/>
      <c r="B89" s="566"/>
      <c r="C89" s="566"/>
      <c r="D89" s="566"/>
      <c r="E89" s="566"/>
      <c r="F89" s="566"/>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6"/>
      <c r="AZ89" s="566"/>
    </row>
    <row r="90" spans="1:52" x14ac:dyDescent="0.2">
      <c r="A90" s="566"/>
      <c r="B90" s="566"/>
      <c r="C90" s="566"/>
      <c r="D90" s="566"/>
      <c r="E90" s="566"/>
      <c r="F90" s="566"/>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566"/>
      <c r="AO90" s="566"/>
      <c r="AP90" s="566"/>
      <c r="AQ90" s="566"/>
      <c r="AR90" s="566"/>
      <c r="AS90" s="566"/>
      <c r="AT90" s="566"/>
      <c r="AU90" s="566"/>
      <c r="AV90" s="566"/>
      <c r="AW90" s="566"/>
      <c r="AX90" s="566"/>
      <c r="AY90" s="566"/>
      <c r="AZ90" s="566"/>
    </row>
    <row r="91" spans="1:52" x14ac:dyDescent="0.2">
      <c r="A91" s="566"/>
      <c r="B91" s="566"/>
      <c r="C91" s="566"/>
      <c r="D91" s="566"/>
      <c r="E91" s="566"/>
      <c r="F91" s="566"/>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566"/>
      <c r="AO91" s="566"/>
      <c r="AP91" s="566"/>
      <c r="AQ91" s="566"/>
      <c r="AR91" s="566"/>
      <c r="AS91" s="566"/>
      <c r="AT91" s="566"/>
      <c r="AU91" s="566"/>
      <c r="AV91" s="566"/>
      <c r="AW91" s="566"/>
      <c r="AX91" s="566"/>
      <c r="AY91" s="566"/>
      <c r="AZ91" s="566"/>
    </row>
    <row r="92" spans="1:52" x14ac:dyDescent="0.2">
      <c r="A92" s="566"/>
      <c r="B92" s="566"/>
      <c r="C92" s="566"/>
      <c r="D92" s="566"/>
      <c r="E92" s="566"/>
      <c r="F92" s="566"/>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6"/>
      <c r="AP92" s="566"/>
      <c r="AQ92" s="566"/>
      <c r="AR92" s="566"/>
      <c r="AS92" s="566"/>
      <c r="AT92" s="566"/>
      <c r="AU92" s="566"/>
      <c r="AV92" s="566"/>
      <c r="AW92" s="566"/>
      <c r="AX92" s="566"/>
      <c r="AY92" s="566"/>
      <c r="AZ92" s="566"/>
    </row>
    <row r="93" spans="1:52" x14ac:dyDescent="0.2">
      <c r="A93" s="566"/>
      <c r="B93" s="566"/>
      <c r="C93" s="566"/>
      <c r="D93" s="566"/>
      <c r="E93" s="566"/>
      <c r="F93" s="566"/>
      <c r="G93" s="566"/>
      <c r="H93" s="566"/>
      <c r="I93" s="566"/>
      <c r="J93" s="566"/>
      <c r="K93" s="566"/>
      <c r="L93" s="566"/>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566"/>
      <c r="AO93" s="566"/>
      <c r="AP93" s="566"/>
      <c r="AQ93" s="566"/>
      <c r="AR93" s="566"/>
      <c r="AS93" s="566"/>
      <c r="AT93" s="566"/>
      <c r="AU93" s="566"/>
      <c r="AV93" s="566"/>
      <c r="AW93" s="566"/>
      <c r="AX93" s="566"/>
      <c r="AY93" s="566"/>
      <c r="AZ93" s="566"/>
    </row>
    <row r="94" spans="1:52" x14ac:dyDescent="0.2">
      <c r="A94" s="566"/>
      <c r="B94" s="566"/>
      <c r="C94" s="566"/>
      <c r="D94" s="566"/>
      <c r="E94" s="566"/>
      <c r="F94" s="566"/>
      <c r="G94" s="566"/>
      <c r="H94" s="566"/>
      <c r="I94" s="566"/>
      <c r="J94" s="566"/>
      <c r="K94" s="566"/>
      <c r="L94" s="566"/>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566"/>
      <c r="AO94" s="566"/>
      <c r="AP94" s="566"/>
      <c r="AQ94" s="566"/>
      <c r="AR94" s="566"/>
      <c r="AS94" s="566"/>
      <c r="AT94" s="566"/>
      <c r="AU94" s="566"/>
      <c r="AV94" s="566"/>
      <c r="AW94" s="566"/>
      <c r="AX94" s="566"/>
      <c r="AY94" s="566"/>
      <c r="AZ94" s="566"/>
    </row>
    <row r="95" spans="1:52" x14ac:dyDescent="0.2">
      <c r="A95" s="566"/>
      <c r="B95" s="566"/>
      <c r="C95" s="566"/>
      <c r="D95" s="566"/>
      <c r="E95" s="566"/>
      <c r="F95" s="566"/>
      <c r="G95" s="566"/>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6"/>
      <c r="AQ95" s="566"/>
      <c r="AR95" s="566"/>
      <c r="AS95" s="566"/>
      <c r="AT95" s="566"/>
      <c r="AU95" s="566"/>
      <c r="AV95" s="566"/>
      <c r="AW95" s="566"/>
      <c r="AX95" s="566"/>
      <c r="AY95" s="566"/>
      <c r="AZ95" s="566"/>
    </row>
    <row r="96" spans="1:52" x14ac:dyDescent="0.2">
      <c r="A96" s="566"/>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row>
    <row r="97" spans="1:52" x14ac:dyDescent="0.2">
      <c r="A97" s="566"/>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6"/>
      <c r="AM97" s="566"/>
      <c r="AN97" s="566"/>
      <c r="AO97" s="566"/>
      <c r="AP97" s="566"/>
      <c r="AQ97" s="566"/>
      <c r="AR97" s="566"/>
      <c r="AS97" s="566"/>
      <c r="AT97" s="566"/>
      <c r="AU97" s="566"/>
      <c r="AV97" s="566"/>
      <c r="AW97" s="566"/>
      <c r="AX97" s="566"/>
      <c r="AY97" s="566"/>
      <c r="AZ97" s="566"/>
    </row>
    <row r="98" spans="1:52" x14ac:dyDescent="0.2">
      <c r="A98" s="566"/>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6"/>
      <c r="AJ98" s="566"/>
      <c r="AK98" s="566"/>
      <c r="AL98" s="566"/>
      <c r="AM98" s="566"/>
      <c r="AN98" s="566"/>
      <c r="AO98" s="566"/>
      <c r="AP98" s="566"/>
      <c r="AQ98" s="566"/>
      <c r="AR98" s="566"/>
      <c r="AS98" s="566"/>
      <c r="AT98" s="566"/>
      <c r="AU98" s="566"/>
      <c r="AV98" s="566"/>
      <c r="AW98" s="566"/>
      <c r="AX98" s="566"/>
      <c r="AY98" s="566"/>
      <c r="AZ98" s="566"/>
    </row>
    <row r="99" spans="1:52" x14ac:dyDescent="0.2">
      <c r="A99" s="566"/>
      <c r="B99" s="566"/>
      <c r="C99" s="566"/>
      <c r="D99" s="566"/>
      <c r="E99" s="566"/>
      <c r="F99" s="566"/>
      <c r="G99" s="566"/>
      <c r="H99" s="566"/>
      <c r="I99" s="566"/>
      <c r="J99" s="566"/>
      <c r="K99" s="566"/>
      <c r="L99" s="566"/>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6"/>
      <c r="AL99" s="566"/>
      <c r="AM99" s="566"/>
      <c r="AN99" s="566"/>
      <c r="AO99" s="566"/>
      <c r="AP99" s="566"/>
      <c r="AQ99" s="566"/>
      <c r="AR99" s="566"/>
      <c r="AS99" s="566"/>
      <c r="AT99" s="566"/>
      <c r="AU99" s="566"/>
      <c r="AV99" s="566"/>
      <c r="AW99" s="566"/>
      <c r="AX99" s="566"/>
      <c r="AY99" s="566"/>
      <c r="AZ99" s="566"/>
    </row>
    <row r="100" spans="1:52" x14ac:dyDescent="0.2">
      <c r="A100" s="566"/>
      <c r="B100" s="566"/>
      <c r="C100" s="566"/>
      <c r="D100" s="566"/>
      <c r="E100" s="566"/>
      <c r="F100" s="566"/>
      <c r="G100" s="566"/>
      <c r="H100" s="566"/>
      <c r="I100" s="566"/>
      <c r="J100" s="566"/>
      <c r="K100" s="566"/>
      <c r="L100" s="566"/>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566"/>
      <c r="AO100" s="566"/>
      <c r="AP100" s="566"/>
      <c r="AQ100" s="566"/>
      <c r="AR100" s="566"/>
      <c r="AS100" s="566"/>
      <c r="AT100" s="566"/>
      <c r="AU100" s="566"/>
      <c r="AV100" s="566"/>
      <c r="AW100" s="566"/>
      <c r="AX100" s="566"/>
      <c r="AY100" s="566"/>
      <c r="AZ100" s="566"/>
    </row>
    <row r="101" spans="1:52" x14ac:dyDescent="0.2">
      <c r="A101" s="566"/>
      <c r="B101" s="566"/>
      <c r="C101" s="566"/>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566"/>
      <c r="AO101" s="566"/>
      <c r="AP101" s="566"/>
      <c r="AQ101" s="566"/>
      <c r="AR101" s="566"/>
      <c r="AS101" s="566"/>
      <c r="AT101" s="566"/>
      <c r="AU101" s="566"/>
      <c r="AV101" s="566"/>
      <c r="AW101" s="566"/>
      <c r="AX101" s="566"/>
      <c r="AY101" s="566"/>
      <c r="AZ101" s="566"/>
    </row>
    <row r="102" spans="1:52" x14ac:dyDescent="0.2">
      <c r="A102" s="566"/>
      <c r="B102" s="566"/>
      <c r="C102" s="566"/>
      <c r="D102" s="566"/>
      <c r="E102" s="566"/>
      <c r="F102" s="566"/>
      <c r="G102" s="566"/>
      <c r="H102" s="566"/>
      <c r="I102" s="566"/>
      <c r="J102" s="566"/>
      <c r="K102" s="566"/>
      <c r="L102" s="566"/>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row>
    <row r="103" spans="1:52" x14ac:dyDescent="0.2">
      <c r="A103" s="566"/>
      <c r="B103" s="566"/>
      <c r="C103" s="566"/>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566"/>
      <c r="AN103" s="566"/>
      <c r="AO103" s="566"/>
      <c r="AP103" s="566"/>
      <c r="AQ103" s="566"/>
      <c r="AR103" s="566"/>
      <c r="AS103" s="566"/>
      <c r="AT103" s="566"/>
      <c r="AU103" s="566"/>
      <c r="AV103" s="566"/>
      <c r="AW103" s="566"/>
      <c r="AX103" s="566"/>
      <c r="AY103" s="566"/>
      <c r="AZ103" s="566"/>
    </row>
    <row r="104" spans="1:52" x14ac:dyDescent="0.2">
      <c r="A104" s="566"/>
      <c r="B104" s="566"/>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566"/>
      <c r="AN104" s="566"/>
      <c r="AO104" s="566"/>
      <c r="AP104" s="566"/>
      <c r="AQ104" s="566"/>
      <c r="AR104" s="566"/>
      <c r="AS104" s="566"/>
      <c r="AT104" s="566"/>
      <c r="AU104" s="566"/>
      <c r="AV104" s="566"/>
      <c r="AW104" s="566"/>
      <c r="AX104" s="566"/>
      <c r="AY104" s="566"/>
      <c r="AZ104" s="566"/>
    </row>
    <row r="105" spans="1:52" x14ac:dyDescent="0.2">
      <c r="A105" s="566"/>
      <c r="B105" s="566"/>
      <c r="C105" s="566"/>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row>
    <row r="106" spans="1:52" x14ac:dyDescent="0.2">
      <c r="A106" s="566"/>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row>
    <row r="107" spans="1:52" x14ac:dyDescent="0.2">
      <c r="A107" s="566"/>
      <c r="B107" s="56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row>
    <row r="108" spans="1:52" x14ac:dyDescent="0.2">
      <c r="A108" s="566"/>
      <c r="B108" s="566"/>
      <c r="C108" s="566"/>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row>
    <row r="109" spans="1:52" x14ac:dyDescent="0.2">
      <c r="A109" s="566"/>
      <c r="B109" s="566"/>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row>
    <row r="110" spans="1:52" x14ac:dyDescent="0.2">
      <c r="A110" s="566"/>
      <c r="B110" s="566"/>
      <c r="C110" s="566"/>
      <c r="D110" s="566"/>
      <c r="E110" s="566"/>
      <c r="F110" s="566"/>
      <c r="G110" s="566"/>
      <c r="H110" s="566"/>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row>
    <row r="111" spans="1:52" x14ac:dyDescent="0.2">
      <c r="A111" s="566"/>
      <c r="B111" s="566"/>
      <c r="C111" s="566"/>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row>
    <row r="112" spans="1:52" x14ac:dyDescent="0.2">
      <c r="A112" s="566"/>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row>
    <row r="113" spans="1:52" x14ac:dyDescent="0.2">
      <c r="A113" s="566"/>
      <c r="B113" s="566"/>
      <c r="C113" s="566"/>
      <c r="D113" s="566"/>
      <c r="E113" s="566"/>
      <c r="F113" s="566"/>
      <c r="G113" s="566"/>
      <c r="H113" s="566"/>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566"/>
      <c r="AP113" s="566"/>
      <c r="AQ113" s="566"/>
      <c r="AR113" s="566"/>
      <c r="AS113" s="566"/>
      <c r="AT113" s="566"/>
      <c r="AU113" s="566"/>
      <c r="AV113" s="566"/>
      <c r="AW113" s="566"/>
      <c r="AX113" s="566"/>
      <c r="AY113" s="566"/>
      <c r="AZ113" s="566"/>
    </row>
    <row r="114" spans="1:52" x14ac:dyDescent="0.2">
      <c r="A114" s="566"/>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row>
    <row r="115" spans="1:52" x14ac:dyDescent="0.2">
      <c r="A115" s="566"/>
      <c r="B115" s="566"/>
      <c r="C115" s="566"/>
      <c r="D115" s="566"/>
      <c r="E115" s="566"/>
      <c r="F115" s="566"/>
      <c r="G115" s="566"/>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566"/>
      <c r="AP115" s="566"/>
      <c r="AQ115" s="566"/>
      <c r="AR115" s="566"/>
      <c r="AS115" s="566"/>
      <c r="AT115" s="566"/>
      <c r="AU115" s="566"/>
      <c r="AV115" s="566"/>
      <c r="AW115" s="566"/>
      <c r="AX115" s="566"/>
      <c r="AY115" s="566"/>
      <c r="AZ115" s="566"/>
    </row>
    <row r="116" spans="1:52" x14ac:dyDescent="0.2">
      <c r="A116" s="566"/>
      <c r="B116" s="566"/>
      <c r="C116" s="566"/>
      <c r="D116" s="566"/>
      <c r="E116" s="566"/>
      <c r="F116" s="566"/>
      <c r="G116" s="566"/>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6"/>
      <c r="AR116" s="566"/>
      <c r="AS116" s="566"/>
      <c r="AT116" s="566"/>
      <c r="AU116" s="566"/>
      <c r="AV116" s="566"/>
      <c r="AW116" s="566"/>
      <c r="AX116" s="566"/>
      <c r="AY116" s="566"/>
      <c r="AZ116" s="566"/>
    </row>
    <row r="117" spans="1:52" x14ac:dyDescent="0.2">
      <c r="A117" s="566"/>
      <c r="B117" s="566"/>
      <c r="C117" s="566"/>
      <c r="D117" s="566"/>
      <c r="E117" s="566"/>
      <c r="F117" s="566"/>
      <c r="G117" s="566"/>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566"/>
      <c r="AP117" s="566"/>
      <c r="AQ117" s="566"/>
      <c r="AR117" s="566"/>
      <c r="AS117" s="566"/>
      <c r="AT117" s="566"/>
      <c r="AU117" s="566"/>
      <c r="AV117" s="566"/>
      <c r="AW117" s="566"/>
      <c r="AX117" s="566"/>
      <c r="AY117" s="566"/>
      <c r="AZ117" s="566"/>
    </row>
    <row r="118" spans="1:52" x14ac:dyDescent="0.2">
      <c r="A118" s="566"/>
      <c r="B118" s="566"/>
      <c r="C118" s="566"/>
      <c r="D118" s="566"/>
      <c r="E118" s="566"/>
      <c r="F118" s="566"/>
      <c r="G118" s="566"/>
      <c r="H118" s="566"/>
      <c r="I118" s="566"/>
      <c r="J118" s="566"/>
      <c r="K118" s="566"/>
      <c r="L118" s="566"/>
      <c r="M118" s="566"/>
      <c r="N118" s="566"/>
      <c r="O118" s="566"/>
      <c r="P118" s="566"/>
      <c r="Q118" s="566"/>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566"/>
      <c r="AN118" s="566"/>
      <c r="AO118" s="566"/>
      <c r="AP118" s="566"/>
      <c r="AQ118" s="566"/>
      <c r="AR118" s="566"/>
      <c r="AS118" s="566"/>
      <c r="AT118" s="566"/>
      <c r="AU118" s="566"/>
      <c r="AV118" s="566"/>
      <c r="AW118" s="566"/>
      <c r="AX118" s="566"/>
      <c r="AY118" s="566"/>
      <c r="AZ118" s="566"/>
    </row>
    <row r="119" spans="1:52" x14ac:dyDescent="0.2">
      <c r="A119" s="566"/>
      <c r="B119" s="566"/>
      <c r="C119" s="566"/>
      <c r="D119" s="566"/>
      <c r="E119" s="566"/>
      <c r="F119" s="566"/>
      <c r="G119" s="566"/>
      <c r="H119" s="566"/>
      <c r="I119" s="566"/>
      <c r="J119" s="566"/>
      <c r="K119" s="566"/>
      <c r="L119" s="566"/>
      <c r="M119" s="566"/>
      <c r="N119" s="566"/>
      <c r="O119" s="566"/>
      <c r="P119" s="566"/>
      <c r="Q119" s="566"/>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566"/>
      <c r="AN119" s="566"/>
      <c r="AO119" s="566"/>
      <c r="AP119" s="566"/>
      <c r="AQ119" s="566"/>
      <c r="AR119" s="566"/>
      <c r="AS119" s="566"/>
      <c r="AT119" s="566"/>
      <c r="AU119" s="566"/>
      <c r="AV119" s="566"/>
      <c r="AW119" s="566"/>
      <c r="AX119" s="566"/>
      <c r="AY119" s="566"/>
      <c r="AZ119" s="566"/>
    </row>
    <row r="120" spans="1:52" x14ac:dyDescent="0.2">
      <c r="A120" s="566"/>
      <c r="B120" s="566"/>
      <c r="C120" s="566"/>
      <c r="D120" s="566"/>
      <c r="E120" s="566"/>
      <c r="F120" s="566"/>
      <c r="G120" s="566"/>
      <c r="H120" s="566"/>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566"/>
      <c r="AN120" s="566"/>
      <c r="AO120" s="566"/>
      <c r="AP120" s="566"/>
      <c r="AQ120" s="566"/>
      <c r="AR120" s="566"/>
      <c r="AS120" s="566"/>
      <c r="AT120" s="566"/>
      <c r="AU120" s="566"/>
      <c r="AV120" s="566"/>
      <c r="AW120" s="566"/>
      <c r="AX120" s="566"/>
      <c r="AY120" s="566"/>
      <c r="AZ120" s="566"/>
    </row>
    <row r="121" spans="1:52" x14ac:dyDescent="0.2">
      <c r="A121" s="566"/>
      <c r="B121" s="566"/>
      <c r="C121" s="566"/>
      <c r="D121" s="566"/>
      <c r="E121" s="566"/>
      <c r="F121" s="566"/>
      <c r="G121" s="566"/>
      <c r="H121" s="566"/>
      <c r="I121" s="566"/>
      <c r="J121" s="566"/>
      <c r="K121" s="566"/>
      <c r="L121" s="566"/>
      <c r="M121" s="566"/>
      <c r="N121" s="566"/>
      <c r="O121" s="566"/>
      <c r="P121" s="566"/>
      <c r="Q121" s="566"/>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566"/>
      <c r="AO121" s="566"/>
      <c r="AP121" s="566"/>
      <c r="AQ121" s="566"/>
      <c r="AR121" s="566"/>
      <c r="AS121" s="566"/>
      <c r="AT121" s="566"/>
      <c r="AU121" s="566"/>
      <c r="AV121" s="566"/>
      <c r="AW121" s="566"/>
      <c r="AX121" s="566"/>
      <c r="AY121" s="566"/>
      <c r="AZ121" s="566"/>
    </row>
    <row r="122" spans="1:52" x14ac:dyDescent="0.2">
      <c r="A122" s="566"/>
      <c r="B122" s="566"/>
      <c r="C122" s="566"/>
      <c r="D122" s="566"/>
      <c r="E122" s="566"/>
      <c r="F122" s="566"/>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566"/>
      <c r="AP122" s="566"/>
      <c r="AQ122" s="566"/>
      <c r="AR122" s="566"/>
      <c r="AS122" s="566"/>
      <c r="AT122" s="566"/>
      <c r="AU122" s="566"/>
      <c r="AV122" s="566"/>
      <c r="AW122" s="566"/>
      <c r="AX122" s="566"/>
      <c r="AY122" s="566"/>
      <c r="AZ122" s="566"/>
    </row>
    <row r="123" spans="1:52" x14ac:dyDescent="0.2">
      <c r="A123" s="566"/>
      <c r="B123" s="566"/>
      <c r="C123" s="566"/>
      <c r="D123" s="566"/>
      <c r="E123" s="566"/>
      <c r="F123" s="566"/>
      <c r="G123" s="566"/>
      <c r="H123" s="566"/>
      <c r="I123" s="566"/>
      <c r="J123" s="566"/>
      <c r="K123" s="566"/>
      <c r="L123" s="566"/>
      <c r="M123" s="566"/>
      <c r="N123" s="566"/>
      <c r="O123" s="566"/>
      <c r="P123" s="566"/>
      <c r="Q123" s="566"/>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566"/>
      <c r="AO123" s="566"/>
      <c r="AP123" s="566"/>
      <c r="AQ123" s="566"/>
      <c r="AR123" s="566"/>
      <c r="AS123" s="566"/>
      <c r="AT123" s="566"/>
      <c r="AU123" s="566"/>
      <c r="AV123" s="566"/>
      <c r="AW123" s="566"/>
      <c r="AX123" s="566"/>
      <c r="AY123" s="566"/>
      <c r="AZ123" s="566"/>
    </row>
    <row r="124" spans="1:52" x14ac:dyDescent="0.2">
      <c r="A124" s="566"/>
      <c r="B124" s="566"/>
      <c r="C124" s="566"/>
      <c r="D124" s="566"/>
      <c r="E124" s="566"/>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c r="AV124" s="566"/>
      <c r="AW124" s="566"/>
      <c r="AX124" s="566"/>
      <c r="AY124" s="566"/>
      <c r="AZ124" s="566"/>
    </row>
    <row r="125" spans="1:52" x14ac:dyDescent="0.2">
      <c r="A125" s="566"/>
      <c r="B125" s="566"/>
      <c r="C125" s="566"/>
      <c r="D125" s="566"/>
      <c r="E125" s="566"/>
      <c r="F125" s="566"/>
      <c r="G125" s="566"/>
      <c r="H125" s="566"/>
      <c r="I125" s="566"/>
      <c r="J125" s="566"/>
      <c r="K125" s="566"/>
      <c r="L125" s="566"/>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566"/>
      <c r="AP125" s="566"/>
      <c r="AQ125" s="566"/>
      <c r="AR125" s="566"/>
      <c r="AS125" s="566"/>
      <c r="AT125" s="566"/>
      <c r="AU125" s="566"/>
      <c r="AV125" s="566"/>
      <c r="AW125" s="566"/>
      <c r="AX125" s="566"/>
      <c r="AY125" s="566"/>
      <c r="AZ125" s="566"/>
    </row>
    <row r="126" spans="1:52" x14ac:dyDescent="0.2">
      <c r="A126" s="566"/>
      <c r="B126" s="566"/>
      <c r="C126" s="566"/>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c r="AV126" s="566"/>
      <c r="AW126" s="566"/>
      <c r="AX126" s="566"/>
      <c r="AY126" s="566"/>
      <c r="AZ126" s="566"/>
    </row>
    <row r="127" spans="1:52" x14ac:dyDescent="0.2">
      <c r="A127" s="566"/>
      <c r="B127" s="566"/>
      <c r="C127" s="566"/>
      <c r="D127" s="566"/>
      <c r="E127" s="566"/>
      <c r="F127" s="566"/>
      <c r="G127" s="566"/>
      <c r="H127" s="566"/>
      <c r="I127" s="566"/>
      <c r="J127" s="566"/>
      <c r="K127" s="566"/>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566"/>
      <c r="AP127" s="566"/>
      <c r="AQ127" s="566"/>
      <c r="AR127" s="566"/>
      <c r="AS127" s="566"/>
      <c r="AT127" s="566"/>
      <c r="AU127" s="566"/>
      <c r="AV127" s="566"/>
      <c r="AW127" s="566"/>
      <c r="AX127" s="566"/>
      <c r="AY127" s="566"/>
      <c r="AZ127" s="566"/>
    </row>
    <row r="128" spans="1:52" x14ac:dyDescent="0.2">
      <c r="A128" s="566"/>
      <c r="B128" s="566"/>
      <c r="C128" s="566"/>
      <c r="D128" s="566"/>
      <c r="E128" s="566"/>
      <c r="F128" s="566"/>
      <c r="G128" s="566"/>
      <c r="H128" s="566"/>
      <c r="I128" s="566"/>
      <c r="J128" s="566"/>
      <c r="K128" s="566"/>
      <c r="L128" s="566"/>
      <c r="M128" s="566"/>
      <c r="N128" s="566"/>
      <c r="O128" s="566"/>
      <c r="P128" s="566"/>
      <c r="Q128" s="566"/>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6"/>
      <c r="AM128" s="566"/>
      <c r="AN128" s="566"/>
      <c r="AO128" s="566"/>
      <c r="AP128" s="566"/>
      <c r="AQ128" s="566"/>
      <c r="AR128" s="566"/>
      <c r="AS128" s="566"/>
      <c r="AT128" s="566"/>
      <c r="AU128" s="566"/>
      <c r="AV128" s="566"/>
      <c r="AW128" s="566"/>
      <c r="AX128" s="566"/>
      <c r="AY128" s="566"/>
      <c r="AZ128" s="566"/>
    </row>
    <row r="129" spans="1:52" x14ac:dyDescent="0.2">
      <c r="A129" s="566"/>
      <c r="B129" s="566"/>
      <c r="C129" s="566"/>
      <c r="D129" s="566"/>
      <c r="E129" s="566"/>
      <c r="F129" s="566"/>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566"/>
      <c r="AP129" s="566"/>
      <c r="AQ129" s="566"/>
      <c r="AR129" s="566"/>
      <c r="AS129" s="566"/>
      <c r="AT129" s="566"/>
      <c r="AU129" s="566"/>
      <c r="AV129" s="566"/>
      <c r="AW129" s="566"/>
      <c r="AX129" s="566"/>
      <c r="AY129" s="566"/>
      <c r="AZ129" s="566"/>
    </row>
    <row r="130" spans="1:52" x14ac:dyDescent="0.2">
      <c r="A130" s="566"/>
      <c r="B130" s="566"/>
      <c r="C130" s="566"/>
      <c r="D130" s="566"/>
      <c r="E130" s="566"/>
      <c r="F130" s="566"/>
      <c r="G130" s="566"/>
      <c r="H130" s="566"/>
      <c r="I130" s="566"/>
      <c r="J130" s="566"/>
      <c r="K130" s="566"/>
      <c r="L130" s="566"/>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6"/>
      <c r="AO130" s="566"/>
      <c r="AP130" s="566"/>
      <c r="AQ130" s="566"/>
      <c r="AR130" s="566"/>
      <c r="AS130" s="566"/>
      <c r="AT130" s="566"/>
      <c r="AU130" s="566"/>
      <c r="AV130" s="566"/>
      <c r="AW130" s="566"/>
      <c r="AX130" s="566"/>
      <c r="AY130" s="566"/>
      <c r="AZ130" s="566"/>
    </row>
    <row r="131" spans="1:52" x14ac:dyDescent="0.2">
      <c r="A131" s="566"/>
      <c r="B131" s="566"/>
      <c r="C131" s="566"/>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6"/>
      <c r="AS131" s="566"/>
      <c r="AT131" s="566"/>
      <c r="AU131" s="566"/>
      <c r="AV131" s="566"/>
      <c r="AW131" s="566"/>
      <c r="AX131" s="566"/>
      <c r="AY131" s="566"/>
      <c r="AZ131" s="566"/>
    </row>
    <row r="132" spans="1:52" x14ac:dyDescent="0.2">
      <c r="A132" s="566"/>
      <c r="B132" s="566"/>
      <c r="C132" s="566"/>
      <c r="D132" s="566"/>
      <c r="E132" s="566"/>
      <c r="F132" s="566"/>
      <c r="G132" s="566"/>
      <c r="H132" s="566"/>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6"/>
      <c r="AU132" s="566"/>
      <c r="AV132" s="566"/>
      <c r="AW132" s="566"/>
      <c r="AX132" s="566"/>
      <c r="AY132" s="566"/>
      <c r="AZ132" s="566"/>
    </row>
    <row r="133" spans="1:52" x14ac:dyDescent="0.2">
      <c r="A133" s="566"/>
      <c r="B133" s="566"/>
      <c r="C133" s="566"/>
      <c r="D133" s="566"/>
      <c r="E133" s="566"/>
      <c r="F133" s="566"/>
      <c r="G133" s="566"/>
      <c r="H133" s="566"/>
      <c r="I133" s="566"/>
      <c r="J133" s="566"/>
      <c r="K133" s="566"/>
      <c r="L133" s="566"/>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6"/>
      <c r="AO133" s="566"/>
      <c r="AP133" s="566"/>
      <c r="AQ133" s="566"/>
      <c r="AR133" s="566"/>
      <c r="AS133" s="566"/>
      <c r="AT133" s="566"/>
      <c r="AU133" s="566"/>
      <c r="AV133" s="566"/>
      <c r="AW133" s="566"/>
      <c r="AX133" s="566"/>
      <c r="AY133" s="566"/>
      <c r="AZ133" s="566"/>
    </row>
    <row r="134" spans="1:52" x14ac:dyDescent="0.2">
      <c r="A134" s="566"/>
      <c r="B134" s="566"/>
      <c r="C134" s="566"/>
      <c r="D134" s="566"/>
      <c r="E134" s="566"/>
      <c r="F134" s="566"/>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566"/>
      <c r="AW134" s="566"/>
      <c r="AX134" s="566"/>
      <c r="AY134" s="566"/>
      <c r="AZ134" s="566"/>
    </row>
    <row r="135" spans="1:52" x14ac:dyDescent="0.2">
      <c r="A135" s="566"/>
      <c r="B135" s="566"/>
      <c r="C135" s="566"/>
      <c r="D135" s="566"/>
      <c r="E135" s="566"/>
      <c r="F135" s="566"/>
      <c r="G135" s="566"/>
      <c r="H135" s="566"/>
      <c r="I135" s="566"/>
      <c r="J135" s="566"/>
      <c r="K135" s="566"/>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6"/>
      <c r="AO135" s="566"/>
      <c r="AP135" s="566"/>
      <c r="AQ135" s="566"/>
      <c r="AR135" s="566"/>
      <c r="AS135" s="566"/>
      <c r="AT135" s="566"/>
      <c r="AU135" s="566"/>
      <c r="AV135" s="566"/>
      <c r="AW135" s="566"/>
      <c r="AX135" s="566"/>
      <c r="AY135" s="566"/>
      <c r="AZ135" s="566"/>
    </row>
    <row r="136" spans="1:52" x14ac:dyDescent="0.2">
      <c r="A136" s="566"/>
      <c r="B136" s="566"/>
      <c r="C136" s="566"/>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c r="AV136" s="566"/>
      <c r="AW136" s="566"/>
      <c r="AX136" s="566"/>
      <c r="AY136" s="566"/>
      <c r="AZ136" s="566"/>
    </row>
    <row r="137" spans="1:52" x14ac:dyDescent="0.2">
      <c r="A137" s="566"/>
      <c r="B137" s="566"/>
      <c r="C137" s="566"/>
      <c r="D137" s="566"/>
      <c r="E137" s="566"/>
      <c r="F137" s="566"/>
      <c r="G137" s="566"/>
      <c r="H137" s="566"/>
      <c r="I137" s="566"/>
      <c r="J137" s="566"/>
      <c r="K137" s="566"/>
      <c r="L137" s="566"/>
      <c r="M137" s="566"/>
      <c r="N137" s="566"/>
      <c r="O137" s="566"/>
      <c r="P137" s="566"/>
      <c r="Q137" s="566"/>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566"/>
      <c r="AO137" s="566"/>
      <c r="AP137" s="566"/>
      <c r="AQ137" s="566"/>
      <c r="AR137" s="566"/>
      <c r="AS137" s="566"/>
      <c r="AT137" s="566"/>
      <c r="AU137" s="566"/>
      <c r="AV137" s="566"/>
      <c r="AW137" s="566"/>
      <c r="AX137" s="566"/>
      <c r="AY137" s="566"/>
      <c r="AZ137" s="566"/>
    </row>
    <row r="138" spans="1:52" x14ac:dyDescent="0.2">
      <c r="A138" s="566"/>
      <c r="B138" s="566"/>
      <c r="C138" s="566"/>
      <c r="D138" s="566"/>
      <c r="E138" s="566"/>
      <c r="F138" s="566"/>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566"/>
      <c r="AP138" s="566"/>
      <c r="AQ138" s="566"/>
      <c r="AR138" s="566"/>
      <c r="AS138" s="566"/>
      <c r="AT138" s="566"/>
      <c r="AU138" s="566"/>
      <c r="AV138" s="566"/>
      <c r="AW138" s="566"/>
      <c r="AX138" s="566"/>
      <c r="AY138" s="566"/>
      <c r="AZ138" s="566"/>
    </row>
    <row r="139" spans="1:52" x14ac:dyDescent="0.2">
      <c r="A139" s="566"/>
      <c r="B139" s="566"/>
      <c r="C139" s="566"/>
      <c r="D139" s="566"/>
      <c r="E139" s="566"/>
      <c r="F139" s="566"/>
      <c r="G139" s="566"/>
      <c r="H139" s="566"/>
      <c r="I139" s="566"/>
      <c r="J139" s="566"/>
      <c r="K139" s="566"/>
      <c r="L139" s="566"/>
      <c r="M139" s="566"/>
      <c r="N139" s="566"/>
      <c r="O139" s="566"/>
      <c r="P139" s="566"/>
      <c r="Q139" s="566"/>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6"/>
      <c r="AM139" s="566"/>
      <c r="AN139" s="566"/>
      <c r="AO139" s="566"/>
      <c r="AP139" s="566"/>
      <c r="AQ139" s="566"/>
      <c r="AR139" s="566"/>
      <c r="AS139" s="566"/>
      <c r="AT139" s="566"/>
      <c r="AU139" s="566"/>
      <c r="AV139" s="566"/>
      <c r="AW139" s="566"/>
      <c r="AX139" s="566"/>
      <c r="AY139" s="566"/>
      <c r="AZ139" s="566"/>
    </row>
    <row r="140" spans="1:52" x14ac:dyDescent="0.2">
      <c r="A140" s="566"/>
      <c r="B140" s="566"/>
      <c r="C140" s="566"/>
      <c r="D140" s="566"/>
      <c r="E140" s="566"/>
      <c r="F140" s="566"/>
      <c r="G140" s="566"/>
      <c r="H140" s="566"/>
      <c r="I140" s="566"/>
      <c r="J140" s="566"/>
      <c r="K140" s="566"/>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6"/>
      <c r="AO140" s="566"/>
      <c r="AP140" s="566"/>
      <c r="AQ140" s="566"/>
      <c r="AR140" s="566"/>
      <c r="AS140" s="566"/>
      <c r="AT140" s="566"/>
      <c r="AU140" s="566"/>
      <c r="AV140" s="566"/>
      <c r="AW140" s="566"/>
      <c r="AX140" s="566"/>
      <c r="AY140" s="566"/>
      <c r="AZ140" s="566"/>
    </row>
    <row r="141" spans="1:52" x14ac:dyDescent="0.2">
      <c r="A141" s="566"/>
      <c r="B141" s="566"/>
      <c r="C141" s="566"/>
      <c r="D141" s="566"/>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c r="AV141" s="566"/>
      <c r="AW141" s="566"/>
      <c r="AX141" s="566"/>
      <c r="AY141" s="566"/>
      <c r="AZ141" s="566"/>
    </row>
    <row r="142" spans="1:52" x14ac:dyDescent="0.2">
      <c r="A142" s="566"/>
      <c r="B142" s="566"/>
      <c r="C142" s="566"/>
      <c r="D142" s="566"/>
      <c r="E142" s="566"/>
      <c r="F142" s="566"/>
      <c r="G142" s="566"/>
      <c r="H142" s="566"/>
      <c r="I142" s="566"/>
      <c r="J142" s="566"/>
      <c r="K142" s="566"/>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566"/>
      <c r="AO142" s="566"/>
      <c r="AP142" s="566"/>
      <c r="AQ142" s="566"/>
      <c r="AR142" s="566"/>
      <c r="AS142" s="566"/>
      <c r="AT142" s="566"/>
      <c r="AU142" s="566"/>
      <c r="AV142" s="566"/>
      <c r="AW142" s="566"/>
      <c r="AX142" s="566"/>
      <c r="AY142" s="566"/>
      <c r="AZ142" s="566"/>
    </row>
    <row r="143" spans="1:52" x14ac:dyDescent="0.2">
      <c r="A143" s="566"/>
      <c r="B143" s="566"/>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566"/>
      <c r="AW143" s="566"/>
      <c r="AX143" s="566"/>
      <c r="AY143" s="566"/>
      <c r="AZ143" s="566"/>
    </row>
    <row r="144" spans="1:52" x14ac:dyDescent="0.2">
      <c r="A144" s="566"/>
      <c r="B144" s="566"/>
      <c r="C144" s="566"/>
      <c r="D144" s="566"/>
      <c r="E144" s="566"/>
      <c r="F144" s="566"/>
      <c r="G144" s="566"/>
      <c r="H144" s="566"/>
      <c r="I144" s="566"/>
      <c r="J144" s="566"/>
      <c r="K144" s="566"/>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566"/>
      <c r="AO144" s="566"/>
      <c r="AP144" s="566"/>
      <c r="AQ144" s="566"/>
      <c r="AR144" s="566"/>
      <c r="AS144" s="566"/>
      <c r="AT144" s="566"/>
      <c r="AU144" s="566"/>
      <c r="AV144" s="566"/>
      <c r="AW144" s="566"/>
      <c r="AX144" s="566"/>
      <c r="AY144" s="566"/>
      <c r="AZ144" s="566"/>
    </row>
    <row r="145" spans="1:52" x14ac:dyDescent="0.2">
      <c r="A145" s="566"/>
      <c r="B145" s="566"/>
      <c r="C145" s="566"/>
      <c r="D145" s="566"/>
      <c r="E145" s="566"/>
      <c r="F145" s="566"/>
      <c r="G145" s="566"/>
      <c r="H145" s="566"/>
      <c r="I145" s="566"/>
      <c r="J145" s="566"/>
      <c r="K145" s="566"/>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566"/>
      <c r="AO145" s="566"/>
      <c r="AP145" s="566"/>
      <c r="AQ145" s="566"/>
      <c r="AR145" s="566"/>
      <c r="AS145" s="566"/>
      <c r="AT145" s="566"/>
      <c r="AU145" s="566"/>
      <c r="AV145" s="566"/>
      <c r="AW145" s="566"/>
      <c r="AX145" s="566"/>
      <c r="AY145" s="566"/>
      <c r="AZ145" s="566"/>
    </row>
    <row r="146" spans="1:52" x14ac:dyDescent="0.2">
      <c r="A146" s="566"/>
      <c r="B146" s="566"/>
      <c r="C146" s="566"/>
      <c r="D146" s="566"/>
      <c r="E146" s="566"/>
      <c r="F146" s="566"/>
      <c r="G146" s="566"/>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566"/>
      <c r="AP146" s="566"/>
      <c r="AQ146" s="566"/>
      <c r="AR146" s="566"/>
      <c r="AS146" s="566"/>
      <c r="AT146" s="566"/>
      <c r="AU146" s="566"/>
      <c r="AV146" s="566"/>
      <c r="AW146" s="566"/>
      <c r="AX146" s="566"/>
      <c r="AY146" s="566"/>
      <c r="AZ146" s="566"/>
    </row>
    <row r="147" spans="1:52" x14ac:dyDescent="0.2">
      <c r="A147" s="566"/>
      <c r="B147" s="566"/>
      <c r="C147" s="566"/>
      <c r="D147" s="566"/>
      <c r="E147" s="566"/>
      <c r="F147" s="566"/>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566"/>
      <c r="AP147" s="566"/>
      <c r="AQ147" s="566"/>
      <c r="AR147" s="566"/>
      <c r="AS147" s="566"/>
      <c r="AT147" s="566"/>
      <c r="AU147" s="566"/>
      <c r="AV147" s="566"/>
      <c r="AW147" s="566"/>
      <c r="AX147" s="566"/>
      <c r="AY147" s="566"/>
      <c r="AZ147" s="566"/>
    </row>
    <row r="148" spans="1:52" x14ac:dyDescent="0.2">
      <c r="A148" s="566"/>
      <c r="B148" s="566"/>
      <c r="C148" s="566"/>
      <c r="D148" s="566"/>
      <c r="E148" s="566"/>
      <c r="F148" s="566"/>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6"/>
      <c r="AN148" s="566"/>
      <c r="AO148" s="566"/>
      <c r="AP148" s="566"/>
      <c r="AQ148" s="566"/>
      <c r="AR148" s="566"/>
      <c r="AS148" s="566"/>
      <c r="AT148" s="566"/>
      <c r="AU148" s="566"/>
      <c r="AV148" s="566"/>
      <c r="AW148" s="566"/>
      <c r="AX148" s="566"/>
      <c r="AY148" s="566"/>
      <c r="AZ148" s="566"/>
    </row>
    <row r="149" spans="1:52" x14ac:dyDescent="0.2">
      <c r="A149" s="566"/>
      <c r="B149" s="566"/>
      <c r="C149" s="566"/>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566"/>
      <c r="AP149" s="566"/>
      <c r="AQ149" s="566"/>
      <c r="AR149" s="566"/>
      <c r="AS149" s="566"/>
      <c r="AT149" s="566"/>
      <c r="AU149" s="566"/>
      <c r="AV149" s="566"/>
      <c r="AW149" s="566"/>
      <c r="AX149" s="566"/>
      <c r="AY149" s="566"/>
      <c r="AZ149" s="566"/>
    </row>
    <row r="150" spans="1:52" x14ac:dyDescent="0.2">
      <c r="A150" s="566"/>
      <c r="B150" s="566"/>
      <c r="C150" s="566"/>
      <c r="D150" s="566"/>
      <c r="E150" s="566"/>
      <c r="F150" s="566"/>
      <c r="G150" s="566"/>
      <c r="H150" s="566"/>
      <c r="I150" s="566"/>
      <c r="J150" s="566"/>
      <c r="K150" s="566"/>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566"/>
      <c r="AK150" s="566"/>
      <c r="AL150" s="566"/>
      <c r="AM150" s="566"/>
      <c r="AN150" s="566"/>
      <c r="AO150" s="566"/>
      <c r="AP150" s="566"/>
      <c r="AQ150" s="566"/>
      <c r="AR150" s="566"/>
      <c r="AS150" s="566"/>
      <c r="AT150" s="566"/>
      <c r="AU150" s="566"/>
      <c r="AV150" s="566"/>
      <c r="AW150" s="566"/>
      <c r="AX150" s="566"/>
      <c r="AY150" s="566"/>
      <c r="AZ150" s="566"/>
    </row>
    <row r="151" spans="1:52" x14ac:dyDescent="0.2">
      <c r="A151" s="566"/>
      <c r="B151" s="566"/>
      <c r="C151" s="566"/>
      <c r="D151" s="566"/>
      <c r="E151" s="566"/>
      <c r="F151" s="566"/>
      <c r="G151" s="566"/>
      <c r="H151" s="566"/>
      <c r="I151" s="566"/>
      <c r="J151" s="566"/>
      <c r="K151" s="566"/>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566"/>
      <c r="AO151" s="566"/>
      <c r="AP151" s="566"/>
      <c r="AQ151" s="566"/>
      <c r="AR151" s="566"/>
      <c r="AS151" s="566"/>
      <c r="AT151" s="566"/>
      <c r="AU151" s="566"/>
      <c r="AV151" s="566"/>
      <c r="AW151" s="566"/>
      <c r="AX151" s="566"/>
      <c r="AY151" s="566"/>
      <c r="AZ151" s="566"/>
    </row>
  </sheetData>
  <mergeCells count="10">
    <mergeCell ref="F7:G7"/>
    <mergeCell ref="H7:I7"/>
    <mergeCell ref="A1:L1"/>
    <mergeCell ref="A2:L2"/>
    <mergeCell ref="A3:L3"/>
    <mergeCell ref="A4:L4"/>
    <mergeCell ref="B5:C6"/>
    <mergeCell ref="D5:E6"/>
    <mergeCell ref="F5:I6"/>
    <mergeCell ref="J5:L6"/>
  </mergeCells>
  <dataValidations count="1">
    <dataValidation type="whole" operator="lessThan" allowBlank="1" showInputMessage="1" showErrorMessage="1" sqref="A1:L67" xr:uid="{8ACF6D7B-772E-467C-8D7B-7720475AAD72}">
      <formula1>-9999</formula1>
    </dataValidation>
  </dataValidations>
  <printOptions horizontalCentered="1" verticalCentered="1"/>
  <pageMargins left="0.70866141732283472" right="0.70866141732283472" top="0.39370078740157483" bottom="0.39370078740157483" header="0.31496062992125984" footer="0.31496062992125984"/>
  <pageSetup paperSize="8" scale="56" orientation="landscape" blackAndWhite="1" r:id="rId1"/>
  <ignoredErrors>
    <ignoredError sqref="D18:H5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B4" sqref="B4"/>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653" t="str">
        <f>Stammblatt!A1</f>
        <v>Projekttitel</v>
      </c>
      <c r="B1" s="632"/>
      <c r="C1" s="633"/>
      <c r="D1" s="632"/>
      <c r="E1" s="634"/>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row>
    <row r="2" spans="1:72" s="10" customFormat="1" ht="18" x14ac:dyDescent="0.2">
      <c r="A2" s="636" t="s">
        <v>576</v>
      </c>
      <c r="B2" s="632"/>
      <c r="C2" s="633"/>
      <c r="D2" s="632"/>
      <c r="E2" s="634"/>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row>
    <row r="3" spans="1:72" s="10" customFormat="1" ht="12.75" customHeight="1" x14ac:dyDescent="0.2">
      <c r="A3" s="592"/>
      <c r="B3" s="632"/>
      <c r="C3" s="633"/>
      <c r="D3" s="632"/>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row>
    <row r="4" spans="1:72" ht="18" x14ac:dyDescent="0.2">
      <c r="A4" s="271" t="s">
        <v>171</v>
      </c>
      <c r="B4" s="637">
        <f ca="1">NFK_ges</f>
        <v>0</v>
      </c>
      <c r="C4" s="638"/>
      <c r="D4" s="639"/>
      <c r="E4" s="640"/>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10"/>
      <c r="BB4" s="10"/>
      <c r="BC4" s="10"/>
      <c r="BD4" s="10"/>
      <c r="BE4" s="10"/>
      <c r="BF4" s="10"/>
      <c r="BG4" s="10"/>
      <c r="BH4" s="10"/>
      <c r="BI4" s="10"/>
      <c r="BJ4" s="10"/>
      <c r="BK4" s="10"/>
      <c r="BL4" s="10"/>
      <c r="BM4" s="10"/>
      <c r="BN4" s="10"/>
      <c r="BO4" s="10"/>
      <c r="BP4" s="10"/>
      <c r="BQ4" s="10"/>
      <c r="BR4" s="10"/>
      <c r="BS4" s="10"/>
      <c r="BT4" s="10"/>
    </row>
    <row r="5" spans="1:72" ht="18" x14ac:dyDescent="0.2">
      <c r="A5" s="271" t="s">
        <v>172</v>
      </c>
      <c r="B5" s="637">
        <f ca="1">NFK</f>
        <v>0</v>
      </c>
      <c r="C5" s="638"/>
      <c r="D5" s="639"/>
      <c r="E5" s="640"/>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641"/>
      <c r="B6" s="640"/>
      <c r="C6" s="642"/>
      <c r="D6" s="639"/>
      <c r="E6" s="640"/>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1"/>
      <c r="AZ6" s="641"/>
      <c r="BA6" s="10"/>
      <c r="BB6" s="10"/>
      <c r="BC6" s="10"/>
      <c r="BD6" s="10"/>
      <c r="BE6" s="10"/>
      <c r="BF6" s="10"/>
      <c r="BG6" s="10"/>
      <c r="BH6" s="10"/>
      <c r="BI6" s="10"/>
      <c r="BJ6" s="10"/>
      <c r="BK6" s="10"/>
      <c r="BL6" s="10"/>
      <c r="BM6" s="10"/>
      <c r="BN6" s="10"/>
      <c r="BO6" s="10"/>
      <c r="BP6" s="10"/>
      <c r="BQ6" s="10"/>
      <c r="BR6" s="10"/>
      <c r="BS6" s="10"/>
      <c r="BT6" s="10"/>
    </row>
    <row r="7" spans="1:72" ht="18" x14ac:dyDescent="0.2">
      <c r="A7" s="643" t="s">
        <v>221</v>
      </c>
      <c r="B7" s="621">
        <f ca="1">ROUND(IF(NFK&gt;5000000,250000,IF(NFK&lt;=200000,NFK*10%,IF(NFK&lt;=400000,20000+(NFK-200000)*7%,IF(NFK&lt;=1000000,NFK*7.5%,IF(NFK&lt;=1500000,75000+(NFK-1000000)*5%,IF(NFK&lt;=2500000,100000+(NFK-1500000)*2.5%,NFK*5%)))))),-1)</f>
        <v>0</v>
      </c>
      <c r="C7" s="656">
        <f ca="1">IF(B5=0,0,B7/B5)</f>
        <v>0</v>
      </c>
      <c r="D7" s="655"/>
      <c r="E7" s="621"/>
      <c r="F7" s="621"/>
      <c r="G7" s="621"/>
      <c r="H7" s="641"/>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641"/>
      <c r="AU7" s="641"/>
      <c r="AV7" s="641"/>
      <c r="AW7" s="641"/>
      <c r="AX7" s="641"/>
      <c r="AY7" s="641"/>
      <c r="AZ7" s="641"/>
      <c r="BA7" s="10"/>
      <c r="BB7" s="10"/>
      <c r="BC7" s="10"/>
      <c r="BD7" s="10"/>
      <c r="BE7" s="10"/>
      <c r="BF7" s="10"/>
      <c r="BG7" s="10"/>
      <c r="BH7" s="10"/>
      <c r="BI7" s="10"/>
      <c r="BJ7" s="10"/>
      <c r="BK7" s="10"/>
      <c r="BL7" s="10"/>
      <c r="BM7" s="10"/>
      <c r="BN7" s="10"/>
      <c r="BO7" s="10"/>
      <c r="BP7" s="10"/>
      <c r="BQ7" s="10"/>
      <c r="BR7" s="10"/>
      <c r="BS7" s="10"/>
      <c r="BT7" s="10"/>
    </row>
    <row r="8" spans="1:72" ht="18" x14ac:dyDescent="0.2">
      <c r="A8" s="643" t="s">
        <v>573</v>
      </c>
      <c r="B8" s="621">
        <f ca="1">ROUND(IF(B5&lt;=800000,B5*9%,IF(B5&lt;=1200000,72000+(B5-800000)*30000/400000,IF(B5&lt;=1600000,102000+(B5-1200000)*26000/400000,IF(B5&lt;=2500000,128000+(B5-1600000)*59500/900000,B5*7.5%)))),-1)</f>
        <v>0</v>
      </c>
      <c r="C8" s="656">
        <f ca="1">IF(B5=0,0,B8/B5)</f>
        <v>0</v>
      </c>
      <c r="D8" s="654"/>
      <c r="E8" s="621"/>
      <c r="F8" s="621"/>
      <c r="G8" s="621"/>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c r="AT8" s="641"/>
      <c r="AU8" s="641"/>
      <c r="AV8" s="641"/>
      <c r="AW8" s="641"/>
      <c r="AX8" s="641"/>
      <c r="AY8" s="641"/>
      <c r="AZ8" s="641"/>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643"/>
      <c r="B9" s="644"/>
      <c r="C9" s="657"/>
      <c r="D9" s="639"/>
      <c r="E9" s="621"/>
      <c r="F9" s="621"/>
      <c r="G9" s="62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10"/>
      <c r="BB9" s="10"/>
      <c r="BC9" s="10"/>
      <c r="BD9" s="10"/>
      <c r="BE9" s="10"/>
      <c r="BF9" s="10"/>
      <c r="BG9" s="10"/>
      <c r="BH9" s="10"/>
      <c r="BI9" s="10"/>
      <c r="BJ9" s="10"/>
      <c r="BK9" s="10"/>
      <c r="BL9" s="10"/>
      <c r="BM9" s="10"/>
      <c r="BN9" s="10"/>
      <c r="BO9" s="10"/>
      <c r="BP9" s="10"/>
      <c r="BQ9" s="10"/>
      <c r="BR9" s="10"/>
      <c r="BS9" s="10"/>
      <c r="BT9" s="10"/>
    </row>
    <row r="10" spans="1:72" ht="18" x14ac:dyDescent="0.2">
      <c r="A10" s="643" t="s">
        <v>560</v>
      </c>
      <c r="B10" s="621">
        <f ca="1">ROUND(IF(B4&lt;=200000,B4*12%,IF(B4&lt;=500000,24000+(B4-200000)*5%,IF(B4&lt;=800000,39000+(B4-500000)*3%,IF(B4&lt;=2800000,48000+(B4-800000)*2%,IF(B4&lt;=6000000,88000+(B4-2800000)*1%,B4*2%))))),-1)</f>
        <v>0</v>
      </c>
      <c r="C10" s="656">
        <f ca="1">IF(B4=0,0,B10/B4)</f>
        <v>0</v>
      </c>
      <c r="D10" s="639"/>
      <c r="E10" s="621"/>
      <c r="F10" s="621"/>
      <c r="G10" s="621"/>
      <c r="H10" s="641"/>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643" t="s">
        <v>794</v>
      </c>
      <c r="B11" s="621">
        <f ca="1">ROUND(IF(B4&lt;=200000,B4*18%,IF(B4&lt;=300000,36000+(B4-200000)*6%,IF(B4&lt;=600000,42000+(B4-300000)*4%,IF(B4&lt;=2400000,54000+(B4-600000)*3%,IF(B4&lt;=3000000,88000+(B4-2800000)*1%,B4*2%))))),-1)</f>
        <v>0</v>
      </c>
      <c r="C11" s="656">
        <f ca="1">IF(B4=0,0,B11/B4)</f>
        <v>0</v>
      </c>
      <c r="D11" s="639"/>
      <c r="E11" s="621"/>
      <c r="F11" s="621"/>
      <c r="G11" s="62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643"/>
      <c r="B12" s="621"/>
      <c r="C12" s="656"/>
      <c r="D12" s="639"/>
      <c r="E12" s="621"/>
      <c r="F12" s="621"/>
      <c r="G12" s="62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c r="AT12" s="641"/>
      <c r="AU12" s="641"/>
      <c r="AV12" s="641"/>
      <c r="AW12" s="641"/>
      <c r="AX12" s="641"/>
      <c r="AY12" s="641"/>
      <c r="AZ12" s="641"/>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645"/>
      <c r="B13" s="646"/>
      <c r="C13" s="642"/>
      <c r="D13" s="639"/>
      <c r="E13" s="640"/>
      <c r="F13" s="641"/>
      <c r="G13" s="62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c r="AT13" s="641"/>
      <c r="AU13" s="641"/>
      <c r="AV13" s="641"/>
      <c r="AW13" s="641"/>
      <c r="AX13" s="641"/>
      <c r="AY13" s="641"/>
      <c r="AZ13" s="641"/>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645"/>
      <c r="B14" s="646"/>
      <c r="C14" s="642"/>
      <c r="D14" s="639"/>
      <c r="E14" s="640"/>
      <c r="F14" s="641"/>
      <c r="G14" s="62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c r="AT14" s="641"/>
      <c r="AU14" s="641"/>
      <c r="AV14" s="641"/>
      <c r="AW14" s="641"/>
      <c r="AX14" s="641"/>
      <c r="AY14" s="641"/>
      <c r="AZ14" s="641"/>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641"/>
      <c r="B15" s="640"/>
      <c r="C15" s="642"/>
      <c r="D15" s="639"/>
      <c r="E15" s="640"/>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c r="AT15" s="641"/>
      <c r="AU15" s="641"/>
      <c r="AV15" s="641"/>
      <c r="AW15" s="641"/>
      <c r="AX15" s="641"/>
      <c r="AY15" s="641"/>
      <c r="AZ15" s="641"/>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647"/>
      <c r="B16" s="648"/>
      <c r="C16" s="642"/>
      <c r="D16" s="639"/>
      <c r="E16" s="640"/>
      <c r="F16" s="641"/>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c r="AT16" s="641"/>
      <c r="AU16" s="641"/>
      <c r="AV16" s="641"/>
      <c r="AW16" s="641"/>
      <c r="AX16" s="641"/>
      <c r="AY16" s="641"/>
      <c r="AZ16" s="641"/>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649"/>
      <c r="B17" s="650"/>
      <c r="C17" s="642"/>
      <c r="D17" s="639"/>
      <c r="E17" s="640"/>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1"/>
      <c r="AV17" s="641"/>
      <c r="AW17" s="641"/>
      <c r="AX17" s="641"/>
      <c r="AY17" s="641"/>
      <c r="AZ17" s="641"/>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651"/>
      <c r="B18" s="640"/>
      <c r="C18" s="642"/>
      <c r="D18" s="639"/>
      <c r="E18" s="640"/>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41"/>
      <c r="AS18" s="641"/>
      <c r="AT18" s="641"/>
      <c r="AU18" s="641"/>
      <c r="AV18" s="641"/>
      <c r="AW18" s="641"/>
      <c r="AX18" s="641"/>
      <c r="AY18" s="641"/>
      <c r="AZ18" s="641"/>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651"/>
      <c r="B19" s="640"/>
      <c r="C19" s="642"/>
      <c r="D19" s="639"/>
      <c r="E19" s="640"/>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641"/>
      <c r="AT19" s="641"/>
      <c r="AU19" s="641"/>
      <c r="AV19" s="641"/>
      <c r="AW19" s="641"/>
      <c r="AX19" s="641"/>
      <c r="AY19" s="641"/>
      <c r="AZ19" s="641"/>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641"/>
      <c r="B20" s="640"/>
      <c r="C20" s="642"/>
      <c r="D20" s="639"/>
      <c r="E20" s="640"/>
      <c r="F20" s="641"/>
      <c r="G20" s="641"/>
      <c r="H20" s="64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641"/>
      <c r="AQ20" s="641"/>
      <c r="AR20" s="641"/>
      <c r="AS20" s="641"/>
      <c r="AT20" s="641"/>
      <c r="AU20" s="641"/>
      <c r="AV20" s="641"/>
      <c r="AW20" s="641"/>
      <c r="AX20" s="641"/>
      <c r="AY20" s="641"/>
      <c r="AZ20" s="641"/>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641"/>
      <c r="B21" s="640"/>
      <c r="C21" s="642"/>
      <c r="D21" s="639"/>
      <c r="E21" s="640"/>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1"/>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641"/>
      <c r="B22" s="640"/>
      <c r="C22" s="642"/>
      <c r="D22" s="639"/>
      <c r="E22" s="640"/>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641"/>
      <c r="AQ22" s="641"/>
      <c r="AR22" s="641"/>
      <c r="AS22" s="641"/>
      <c r="AT22" s="641"/>
      <c r="AU22" s="641"/>
      <c r="AV22" s="641"/>
      <c r="AW22" s="641"/>
      <c r="AX22" s="641"/>
      <c r="AY22" s="641"/>
      <c r="AZ22" s="641"/>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641"/>
      <c r="B23" s="640"/>
      <c r="C23" s="642"/>
      <c r="D23" s="639"/>
      <c r="E23" s="640"/>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c r="AT23" s="641"/>
      <c r="AU23" s="641"/>
      <c r="AV23" s="641"/>
      <c r="AW23" s="641"/>
      <c r="AX23" s="641"/>
      <c r="AY23" s="641"/>
      <c r="AZ23" s="641"/>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641"/>
      <c r="B24" s="640"/>
      <c r="C24" s="642"/>
      <c r="D24" s="639"/>
      <c r="E24" s="640"/>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641"/>
      <c r="AQ24" s="641"/>
      <c r="AR24" s="641"/>
      <c r="AS24" s="641"/>
      <c r="AT24" s="641"/>
      <c r="AU24" s="641"/>
      <c r="AV24" s="641"/>
      <c r="AW24" s="641"/>
      <c r="AX24" s="641"/>
      <c r="AY24" s="641"/>
      <c r="AZ24" s="641"/>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641"/>
      <c r="B25" s="640"/>
      <c r="C25" s="642"/>
      <c r="D25" s="639"/>
      <c r="E25" s="640"/>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641"/>
      <c r="AQ25" s="641"/>
      <c r="AR25" s="641"/>
      <c r="AS25" s="641"/>
      <c r="AT25" s="641"/>
      <c r="AU25" s="641"/>
      <c r="AV25" s="641"/>
      <c r="AW25" s="641"/>
      <c r="AX25" s="641"/>
      <c r="AY25" s="641"/>
      <c r="AZ25" s="641"/>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641"/>
      <c r="B26" s="640"/>
      <c r="C26" s="642"/>
      <c r="D26" s="639"/>
      <c r="E26" s="640"/>
      <c r="F26" s="641"/>
      <c r="G26" s="641"/>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641"/>
      <c r="AQ26" s="641"/>
      <c r="AR26" s="641"/>
      <c r="AS26" s="641"/>
      <c r="AT26" s="641"/>
      <c r="AU26" s="641"/>
      <c r="AV26" s="641"/>
      <c r="AW26" s="641"/>
      <c r="AX26" s="641"/>
      <c r="AY26" s="641"/>
      <c r="AZ26" s="641"/>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641"/>
      <c r="B27" s="640"/>
      <c r="C27" s="642"/>
      <c r="D27" s="639"/>
      <c r="E27" s="640"/>
      <c r="F27" s="641"/>
      <c r="G27" s="641"/>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641"/>
      <c r="AQ27" s="641"/>
      <c r="AR27" s="641"/>
      <c r="AS27" s="641"/>
      <c r="AT27" s="641"/>
      <c r="AU27" s="641"/>
      <c r="AV27" s="641"/>
      <c r="AW27" s="641"/>
      <c r="AX27" s="641"/>
      <c r="AY27" s="641"/>
      <c r="AZ27" s="641"/>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641"/>
      <c r="B28" s="640"/>
      <c r="C28" s="642"/>
      <c r="D28" s="639"/>
      <c r="E28" s="640"/>
      <c r="F28" s="641"/>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641"/>
      <c r="B29" s="640"/>
      <c r="C29" s="642"/>
      <c r="D29" s="639"/>
      <c r="E29" s="640"/>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641"/>
      <c r="AQ29" s="641"/>
      <c r="AR29" s="641"/>
      <c r="AS29" s="641"/>
      <c r="AT29" s="641"/>
      <c r="AU29" s="641"/>
      <c r="AV29" s="641"/>
      <c r="AW29" s="641"/>
      <c r="AX29" s="641"/>
      <c r="AY29" s="641"/>
      <c r="AZ29" s="641"/>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641"/>
      <c r="B30" s="640"/>
      <c r="C30" s="642"/>
      <c r="D30" s="639"/>
      <c r="E30" s="640"/>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641"/>
      <c r="AQ30" s="641"/>
      <c r="AR30" s="641"/>
      <c r="AS30" s="641"/>
      <c r="AT30" s="641"/>
      <c r="AU30" s="641"/>
      <c r="AV30" s="641"/>
      <c r="AW30" s="641"/>
      <c r="AX30" s="641"/>
      <c r="AY30" s="641"/>
      <c r="AZ30" s="641"/>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641"/>
      <c r="B31" s="640"/>
      <c r="C31" s="642"/>
      <c r="D31" s="639"/>
      <c r="E31" s="640"/>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641"/>
      <c r="B32" s="640"/>
      <c r="C32" s="642"/>
      <c r="D32" s="639"/>
      <c r="E32" s="640"/>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641"/>
      <c r="AQ32" s="641"/>
      <c r="AR32" s="641"/>
      <c r="AS32" s="641"/>
      <c r="AT32" s="641"/>
      <c r="AU32" s="641"/>
      <c r="AV32" s="641"/>
      <c r="AW32" s="641"/>
      <c r="AX32" s="641"/>
      <c r="AY32" s="641"/>
      <c r="AZ32" s="641"/>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641"/>
      <c r="B33" s="640"/>
      <c r="C33" s="642"/>
      <c r="D33" s="639"/>
      <c r="E33" s="640"/>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641"/>
      <c r="B34" s="640"/>
      <c r="C34" s="642"/>
      <c r="D34" s="639"/>
      <c r="E34" s="640"/>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1"/>
      <c r="AY34" s="641"/>
      <c r="AZ34" s="641"/>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641"/>
      <c r="B35" s="640"/>
      <c r="C35" s="642"/>
      <c r="D35" s="652"/>
      <c r="E35" s="640"/>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641"/>
      <c r="B36" s="640"/>
      <c r="C36" s="642"/>
      <c r="D36" s="652"/>
      <c r="E36" s="640"/>
      <c r="F36" s="641"/>
      <c r="G36" s="641"/>
      <c r="H36" s="641"/>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641"/>
      <c r="AQ36" s="641"/>
      <c r="AR36" s="641"/>
      <c r="AS36" s="641"/>
      <c r="AT36" s="641"/>
      <c r="AU36" s="641"/>
      <c r="AV36" s="641"/>
      <c r="AW36" s="641"/>
      <c r="AX36" s="641"/>
      <c r="AY36" s="641"/>
      <c r="AZ36" s="641"/>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641"/>
      <c r="B37" s="640"/>
      <c r="C37" s="642"/>
      <c r="D37" s="652"/>
      <c r="E37" s="640"/>
      <c r="F37" s="641"/>
      <c r="G37" s="641"/>
      <c r="H37" s="641"/>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641"/>
      <c r="B38" s="640"/>
      <c r="C38" s="642"/>
      <c r="D38" s="652"/>
      <c r="E38" s="640"/>
      <c r="F38" s="641"/>
      <c r="G38" s="641"/>
      <c r="H38" s="641"/>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641"/>
      <c r="AQ38" s="641"/>
      <c r="AR38" s="641"/>
      <c r="AS38" s="641"/>
      <c r="AT38" s="641"/>
      <c r="AU38" s="641"/>
      <c r="AV38" s="641"/>
      <c r="AW38" s="641"/>
      <c r="AX38" s="641"/>
      <c r="AY38" s="641"/>
      <c r="AZ38" s="641"/>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641"/>
      <c r="B39" s="640"/>
      <c r="C39" s="642"/>
      <c r="D39" s="652"/>
      <c r="E39" s="640"/>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641"/>
      <c r="B40" s="640"/>
      <c r="C40" s="642"/>
      <c r="D40" s="652"/>
      <c r="E40" s="640"/>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641"/>
      <c r="B41" s="640"/>
      <c r="C41" s="642"/>
      <c r="D41" s="652"/>
      <c r="E41" s="640"/>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641"/>
      <c r="B42" s="640"/>
      <c r="C42" s="642"/>
      <c r="D42" s="652"/>
      <c r="E42" s="640"/>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641"/>
      <c r="B43" s="640"/>
      <c r="C43" s="642"/>
      <c r="D43" s="652"/>
      <c r="E43" s="640"/>
      <c r="F43" s="641"/>
      <c r="G43" s="641"/>
      <c r="H43" s="641"/>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641"/>
      <c r="B44" s="640"/>
      <c r="C44" s="642"/>
      <c r="D44" s="652"/>
      <c r="E44" s="640"/>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641"/>
      <c r="B45" s="640"/>
      <c r="C45" s="642"/>
      <c r="D45" s="652"/>
      <c r="E45" s="640"/>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641"/>
      <c r="B46" s="640"/>
      <c r="C46" s="642"/>
      <c r="D46" s="652"/>
      <c r="E46" s="640"/>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641"/>
      <c r="B47" s="640"/>
      <c r="C47" s="642"/>
      <c r="D47" s="652"/>
      <c r="E47" s="640"/>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641"/>
      <c r="B48" s="640"/>
      <c r="C48" s="642"/>
      <c r="D48" s="652"/>
      <c r="E48" s="640"/>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641"/>
      <c r="B49" s="640"/>
      <c r="C49" s="642"/>
      <c r="D49" s="652"/>
      <c r="E49" s="640"/>
      <c r="F49" s="641"/>
      <c r="G49" s="641"/>
      <c r="H49" s="641"/>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641"/>
      <c r="AQ49" s="641"/>
      <c r="AR49" s="641"/>
      <c r="AS49" s="641"/>
      <c r="AT49" s="641"/>
      <c r="AU49" s="641"/>
      <c r="AV49" s="641"/>
      <c r="AW49" s="641"/>
      <c r="AX49" s="641"/>
      <c r="AY49" s="641"/>
      <c r="AZ49" s="641"/>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641"/>
      <c r="B50" s="640"/>
      <c r="C50" s="642"/>
      <c r="D50" s="652"/>
      <c r="E50" s="640"/>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641"/>
      <c r="AQ50" s="641"/>
      <c r="AR50" s="641"/>
      <c r="AS50" s="641"/>
      <c r="AT50" s="641"/>
      <c r="AU50" s="641"/>
      <c r="AV50" s="641"/>
      <c r="AW50" s="641"/>
      <c r="AX50" s="641"/>
      <c r="AY50" s="641"/>
      <c r="AZ50" s="641"/>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641"/>
      <c r="B51" s="640"/>
      <c r="C51" s="642"/>
      <c r="D51" s="652"/>
      <c r="E51" s="640"/>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AY51" s="641"/>
      <c r="AZ51" s="641"/>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641"/>
      <c r="B52" s="640"/>
      <c r="C52" s="642"/>
      <c r="D52" s="652"/>
      <c r="E52" s="640"/>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641"/>
      <c r="B53" s="640"/>
      <c r="C53" s="642"/>
      <c r="D53" s="652"/>
      <c r="E53" s="640"/>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AY53" s="641"/>
      <c r="AZ53" s="641"/>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641"/>
      <c r="B54" s="640"/>
      <c r="C54" s="642"/>
      <c r="D54" s="652"/>
      <c r="E54" s="640"/>
      <c r="F54" s="641"/>
      <c r="G54" s="641"/>
      <c r="H54" s="641"/>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641"/>
      <c r="AQ54" s="641"/>
      <c r="AR54" s="641"/>
      <c r="AS54" s="641"/>
      <c r="AT54" s="641"/>
      <c r="AU54" s="641"/>
      <c r="AV54" s="641"/>
      <c r="AW54" s="641"/>
      <c r="AX54" s="641"/>
      <c r="AY54" s="641"/>
      <c r="AZ54" s="641"/>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641"/>
      <c r="B55" s="640"/>
      <c r="C55" s="642"/>
      <c r="D55" s="652"/>
      <c r="E55" s="640"/>
      <c r="F55" s="641"/>
      <c r="G55" s="641"/>
      <c r="H55" s="641"/>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641"/>
      <c r="B56" s="640"/>
      <c r="C56" s="642"/>
      <c r="D56" s="652"/>
      <c r="E56" s="640"/>
      <c r="F56" s="641"/>
      <c r="G56" s="641"/>
      <c r="H56" s="641"/>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c r="AY56" s="641"/>
      <c r="AZ56" s="641"/>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641"/>
      <c r="B57" s="640"/>
      <c r="C57" s="642"/>
      <c r="D57" s="652"/>
      <c r="E57" s="640"/>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641"/>
      <c r="B58" s="640"/>
      <c r="C58" s="642"/>
      <c r="D58" s="652"/>
      <c r="E58" s="640"/>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641"/>
      <c r="B59" s="640"/>
      <c r="C59" s="642"/>
      <c r="D59" s="652"/>
      <c r="E59" s="640"/>
      <c r="F59" s="641"/>
      <c r="G59" s="641"/>
      <c r="H59" s="641"/>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c r="AY59" s="641"/>
      <c r="AZ59" s="641"/>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641"/>
      <c r="B60" s="640"/>
      <c r="C60" s="642"/>
      <c r="D60" s="652"/>
      <c r="E60" s="640"/>
      <c r="F60" s="641"/>
      <c r="G60" s="641"/>
      <c r="H60" s="641"/>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641"/>
      <c r="B61" s="640"/>
      <c r="C61" s="642"/>
      <c r="D61" s="652"/>
      <c r="E61" s="640"/>
      <c r="F61" s="641"/>
      <c r="G61" s="641"/>
      <c r="H61" s="641"/>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641"/>
      <c r="B62" s="640"/>
      <c r="C62" s="642"/>
      <c r="D62" s="652"/>
      <c r="E62" s="640"/>
      <c r="F62" s="641"/>
      <c r="G62" s="641"/>
      <c r="H62" s="641"/>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c r="AY62" s="641"/>
      <c r="AZ62" s="641"/>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641"/>
      <c r="B63" s="640"/>
      <c r="C63" s="642"/>
      <c r="D63" s="652"/>
      <c r="E63" s="640"/>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641"/>
      <c r="B64" s="640"/>
      <c r="C64" s="642"/>
      <c r="D64" s="652"/>
      <c r="E64" s="640"/>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641"/>
      <c r="B65" s="640"/>
      <c r="C65" s="642"/>
      <c r="D65" s="652"/>
      <c r="E65" s="640"/>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641"/>
      <c r="B66" s="640"/>
      <c r="C66" s="642"/>
      <c r="D66" s="652"/>
      <c r="E66" s="640"/>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641"/>
      <c r="B67" s="640"/>
      <c r="C67" s="642"/>
      <c r="D67" s="652"/>
      <c r="E67" s="640"/>
      <c r="F67" s="641"/>
      <c r="G67" s="641"/>
      <c r="H67" s="641"/>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641"/>
      <c r="B68" s="640"/>
      <c r="C68" s="642"/>
      <c r="D68" s="652"/>
      <c r="E68" s="640"/>
      <c r="F68" s="641"/>
      <c r="G68" s="641"/>
      <c r="H68" s="641"/>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c r="AX68" s="641"/>
      <c r="AY68" s="641"/>
      <c r="AZ68" s="641"/>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641"/>
      <c r="B69" s="640"/>
      <c r="C69" s="642"/>
      <c r="D69" s="652"/>
      <c r="E69" s="640"/>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641"/>
      <c r="B70" s="640"/>
      <c r="C70" s="642"/>
      <c r="D70" s="652"/>
      <c r="E70" s="640"/>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641"/>
      <c r="B71" s="640"/>
      <c r="C71" s="642"/>
      <c r="D71" s="652"/>
      <c r="E71" s="640"/>
      <c r="F71" s="641"/>
      <c r="G71" s="641"/>
      <c r="H71" s="641"/>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641"/>
      <c r="B72" s="640"/>
      <c r="C72" s="642"/>
      <c r="D72" s="652"/>
      <c r="E72" s="640"/>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641"/>
      <c r="B73" s="640"/>
      <c r="C73" s="642"/>
      <c r="D73" s="652"/>
      <c r="E73" s="640"/>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641"/>
      <c r="B74" s="640"/>
      <c r="C74" s="642"/>
      <c r="D74" s="652"/>
      <c r="E74" s="640"/>
      <c r="F74" s="641"/>
      <c r="G74" s="641"/>
      <c r="H74" s="641"/>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c r="AX74" s="641"/>
      <c r="AY74" s="641"/>
      <c r="AZ74" s="641"/>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641"/>
      <c r="B75" s="640"/>
      <c r="C75" s="642"/>
      <c r="D75" s="652"/>
      <c r="E75" s="640"/>
      <c r="F75" s="641"/>
      <c r="G75" s="641"/>
      <c r="H75" s="641"/>
      <c r="I75" s="641"/>
      <c r="J75" s="641"/>
      <c r="K75" s="641"/>
      <c r="L75" s="641"/>
      <c r="M75" s="641"/>
      <c r="N75" s="641"/>
      <c r="O75" s="641"/>
      <c r="P75" s="641"/>
      <c r="Q75" s="641"/>
      <c r="R75" s="641"/>
      <c r="S75" s="641"/>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641"/>
      <c r="B76" s="640"/>
      <c r="C76" s="642"/>
      <c r="D76" s="652"/>
      <c r="E76" s="640"/>
      <c r="F76" s="641"/>
      <c r="G76" s="641"/>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c r="AX76" s="641"/>
      <c r="AY76" s="641"/>
      <c r="AZ76" s="641"/>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641"/>
      <c r="B77" s="640"/>
      <c r="C77" s="642"/>
      <c r="D77" s="652"/>
      <c r="E77" s="640"/>
      <c r="F77" s="641"/>
      <c r="G77" s="641"/>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641"/>
      <c r="B78" s="640"/>
      <c r="C78" s="642"/>
      <c r="D78" s="652"/>
      <c r="E78" s="640"/>
      <c r="F78" s="641"/>
      <c r="G78" s="641"/>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641"/>
      <c r="AQ78" s="641"/>
      <c r="AR78" s="641"/>
      <c r="AS78" s="641"/>
      <c r="AT78" s="641"/>
      <c r="AU78" s="641"/>
      <c r="AV78" s="641"/>
      <c r="AW78" s="641"/>
      <c r="AX78" s="641"/>
      <c r="AY78" s="641"/>
      <c r="AZ78" s="641"/>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641"/>
      <c r="B79" s="640"/>
      <c r="C79" s="642"/>
      <c r="D79" s="652"/>
      <c r="E79" s="640"/>
      <c r="F79" s="641"/>
      <c r="G79" s="641"/>
      <c r="H79" s="641"/>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641"/>
      <c r="AQ79" s="641"/>
      <c r="AR79" s="641"/>
      <c r="AS79" s="641"/>
      <c r="AT79" s="641"/>
      <c r="AU79" s="641"/>
      <c r="AV79" s="641"/>
      <c r="AW79" s="641"/>
      <c r="AX79" s="641"/>
      <c r="AY79" s="641"/>
      <c r="AZ79" s="641"/>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641"/>
      <c r="B80" s="640"/>
      <c r="C80" s="642"/>
      <c r="D80" s="652"/>
      <c r="E80" s="640"/>
      <c r="F80" s="641"/>
      <c r="G80" s="641"/>
      <c r="H80" s="641"/>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641"/>
      <c r="AQ80" s="641"/>
      <c r="AR80" s="641"/>
      <c r="AS80" s="641"/>
      <c r="AT80" s="641"/>
      <c r="AU80" s="641"/>
      <c r="AV80" s="641"/>
      <c r="AW80" s="641"/>
      <c r="AX80" s="641"/>
      <c r="AY80" s="641"/>
      <c r="AZ80" s="641"/>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641"/>
      <c r="B81" s="640"/>
      <c r="C81" s="642"/>
      <c r="D81" s="652"/>
      <c r="E81" s="640"/>
      <c r="F81" s="641"/>
      <c r="G81" s="641"/>
      <c r="H81" s="641"/>
      <c r="I81" s="641"/>
      <c r="J81" s="641"/>
      <c r="K81" s="641"/>
      <c r="L81" s="641"/>
      <c r="M81" s="641"/>
      <c r="N81" s="641"/>
      <c r="O81" s="641"/>
      <c r="P81" s="641"/>
      <c r="Q81" s="641"/>
      <c r="R81" s="641"/>
      <c r="S81" s="641"/>
      <c r="T81" s="641"/>
      <c r="U81" s="641"/>
      <c r="V81" s="641"/>
      <c r="W81" s="641"/>
      <c r="X81" s="641"/>
      <c r="Y81" s="641"/>
      <c r="Z81" s="641"/>
      <c r="AA81" s="641"/>
      <c r="AB81" s="641"/>
      <c r="AC81" s="641"/>
      <c r="AD81" s="641"/>
      <c r="AE81" s="641"/>
      <c r="AF81" s="641"/>
      <c r="AG81" s="641"/>
      <c r="AH81" s="641"/>
      <c r="AI81" s="641"/>
      <c r="AJ81" s="641"/>
      <c r="AK81" s="641"/>
      <c r="AL81" s="641"/>
      <c r="AM81" s="641"/>
      <c r="AN81" s="641"/>
      <c r="AO81" s="641"/>
      <c r="AP81" s="641"/>
      <c r="AQ81" s="641"/>
      <c r="AR81" s="641"/>
      <c r="AS81" s="641"/>
      <c r="AT81" s="641"/>
      <c r="AU81" s="641"/>
      <c r="AV81" s="641"/>
      <c r="AW81" s="641"/>
      <c r="AX81" s="641"/>
      <c r="AY81" s="641"/>
      <c r="AZ81" s="641"/>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641"/>
      <c r="B82" s="640"/>
      <c r="C82" s="642"/>
      <c r="D82" s="652"/>
      <c r="E82" s="640"/>
      <c r="F82" s="641"/>
      <c r="G82" s="641"/>
      <c r="H82" s="641"/>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641"/>
      <c r="AQ82" s="641"/>
      <c r="AR82" s="641"/>
      <c r="AS82" s="641"/>
      <c r="AT82" s="641"/>
      <c r="AU82" s="641"/>
      <c r="AV82" s="641"/>
      <c r="AW82" s="641"/>
      <c r="AX82" s="641"/>
      <c r="AY82" s="641"/>
      <c r="AZ82" s="641"/>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641"/>
      <c r="B83" s="640"/>
      <c r="C83" s="642"/>
      <c r="D83" s="652"/>
      <c r="E83" s="640"/>
      <c r="F83" s="641"/>
      <c r="G83" s="641"/>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641"/>
      <c r="AQ83" s="641"/>
      <c r="AR83" s="641"/>
      <c r="AS83" s="641"/>
      <c r="AT83" s="641"/>
      <c r="AU83" s="641"/>
      <c r="AV83" s="641"/>
      <c r="AW83" s="641"/>
      <c r="AX83" s="641"/>
      <c r="AY83" s="641"/>
      <c r="AZ83" s="641"/>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641"/>
      <c r="B84" s="640"/>
      <c r="C84" s="642"/>
      <c r="D84" s="652"/>
      <c r="E84" s="640"/>
      <c r="F84" s="641"/>
      <c r="G84" s="641"/>
      <c r="H84" s="641"/>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641"/>
      <c r="B85" s="640"/>
      <c r="C85" s="642"/>
      <c r="D85" s="652"/>
      <c r="E85" s="640"/>
      <c r="F85" s="641"/>
      <c r="G85" s="641"/>
      <c r="H85" s="641"/>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641"/>
      <c r="AQ85" s="641"/>
      <c r="AR85" s="641"/>
      <c r="AS85" s="641"/>
      <c r="AT85" s="641"/>
      <c r="AU85" s="641"/>
      <c r="AV85" s="641"/>
      <c r="AW85" s="641"/>
      <c r="AX85" s="641"/>
      <c r="AY85" s="641"/>
      <c r="AZ85" s="641"/>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641"/>
      <c r="B86" s="640"/>
      <c r="C86" s="642"/>
      <c r="D86" s="652"/>
      <c r="E86" s="640"/>
      <c r="F86" s="641"/>
      <c r="G86" s="641"/>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641"/>
      <c r="AQ86" s="641"/>
      <c r="AR86" s="641"/>
      <c r="AS86" s="641"/>
      <c r="AT86" s="641"/>
      <c r="AU86" s="641"/>
      <c r="AV86" s="641"/>
      <c r="AW86" s="641"/>
      <c r="AX86" s="641"/>
      <c r="AY86" s="641"/>
      <c r="AZ86" s="641"/>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641"/>
      <c r="B87" s="640"/>
      <c r="C87" s="642"/>
      <c r="D87" s="652"/>
      <c r="E87" s="640"/>
      <c r="F87" s="641"/>
      <c r="G87" s="641"/>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641"/>
      <c r="AQ87" s="641"/>
      <c r="AR87" s="641"/>
      <c r="AS87" s="641"/>
      <c r="AT87" s="641"/>
      <c r="AU87" s="641"/>
      <c r="AV87" s="641"/>
      <c r="AW87" s="641"/>
      <c r="AX87" s="641"/>
      <c r="AY87" s="641"/>
      <c r="AZ87" s="641"/>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641"/>
      <c r="B88" s="640"/>
      <c r="C88" s="642"/>
      <c r="D88" s="652"/>
      <c r="E88" s="640"/>
      <c r="F88" s="641"/>
      <c r="G88" s="641"/>
      <c r="H88" s="641"/>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641"/>
      <c r="B89" s="640"/>
      <c r="C89" s="642"/>
      <c r="D89" s="652"/>
      <c r="E89" s="640"/>
      <c r="F89" s="641"/>
      <c r="G89" s="641"/>
      <c r="H89" s="641"/>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641"/>
      <c r="AQ89" s="641"/>
      <c r="AR89" s="641"/>
      <c r="AS89" s="641"/>
      <c r="AT89" s="641"/>
      <c r="AU89" s="641"/>
      <c r="AV89" s="641"/>
      <c r="AW89" s="641"/>
      <c r="AX89" s="641"/>
      <c r="AY89" s="641"/>
      <c r="AZ89" s="641"/>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641"/>
      <c r="B90" s="640"/>
      <c r="C90" s="642"/>
      <c r="D90" s="652"/>
      <c r="E90" s="640"/>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641"/>
      <c r="AQ90" s="641"/>
      <c r="AR90" s="641"/>
      <c r="AS90" s="641"/>
      <c r="AT90" s="641"/>
      <c r="AU90" s="641"/>
      <c r="AV90" s="641"/>
      <c r="AW90" s="641"/>
      <c r="AX90" s="641"/>
      <c r="AY90" s="641"/>
      <c r="AZ90" s="641"/>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641"/>
      <c r="B91" s="640"/>
      <c r="C91" s="642"/>
      <c r="D91" s="652"/>
      <c r="E91" s="640"/>
      <c r="F91" s="641"/>
      <c r="G91" s="641"/>
      <c r="H91" s="641"/>
      <c r="I91" s="641"/>
      <c r="J91" s="641"/>
      <c r="K91" s="641"/>
      <c r="L91" s="641"/>
      <c r="M91" s="641"/>
      <c r="N91" s="641"/>
      <c r="O91" s="641"/>
      <c r="P91" s="641"/>
      <c r="Q91" s="641"/>
      <c r="R91" s="641"/>
      <c r="S91" s="641"/>
      <c r="T91" s="641"/>
      <c r="U91" s="641"/>
      <c r="V91" s="641"/>
      <c r="W91" s="641"/>
      <c r="X91" s="641"/>
      <c r="Y91" s="641"/>
      <c r="Z91" s="641"/>
      <c r="AA91" s="641"/>
      <c r="AB91" s="641"/>
      <c r="AC91" s="641"/>
      <c r="AD91" s="641"/>
      <c r="AE91" s="641"/>
      <c r="AF91" s="641"/>
      <c r="AG91" s="641"/>
      <c r="AH91" s="641"/>
      <c r="AI91" s="641"/>
      <c r="AJ91" s="641"/>
      <c r="AK91" s="641"/>
      <c r="AL91" s="641"/>
      <c r="AM91" s="641"/>
      <c r="AN91" s="641"/>
      <c r="AO91" s="641"/>
      <c r="AP91" s="641"/>
      <c r="AQ91" s="641"/>
      <c r="AR91" s="641"/>
      <c r="AS91" s="641"/>
      <c r="AT91" s="641"/>
      <c r="AU91" s="641"/>
      <c r="AV91" s="641"/>
      <c r="AW91" s="641"/>
      <c r="AX91" s="641"/>
      <c r="AY91" s="641"/>
      <c r="AZ91" s="641"/>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641"/>
      <c r="B92" s="640"/>
      <c r="C92" s="642"/>
      <c r="D92" s="652"/>
      <c r="E92" s="640"/>
      <c r="F92" s="641"/>
      <c r="G92" s="641"/>
      <c r="H92" s="641"/>
      <c r="I92" s="641"/>
      <c r="J92" s="641"/>
      <c r="K92" s="641"/>
      <c r="L92" s="641"/>
      <c r="M92" s="641"/>
      <c r="N92" s="641"/>
      <c r="O92" s="641"/>
      <c r="P92" s="641"/>
      <c r="Q92" s="641"/>
      <c r="R92" s="641"/>
      <c r="S92" s="641"/>
      <c r="T92" s="641"/>
      <c r="U92" s="641"/>
      <c r="V92" s="641"/>
      <c r="W92" s="641"/>
      <c r="X92" s="641"/>
      <c r="Y92" s="641"/>
      <c r="Z92" s="641"/>
      <c r="AA92" s="641"/>
      <c r="AB92" s="641"/>
      <c r="AC92" s="641"/>
      <c r="AD92" s="641"/>
      <c r="AE92" s="641"/>
      <c r="AF92" s="641"/>
      <c r="AG92" s="641"/>
      <c r="AH92" s="641"/>
      <c r="AI92" s="641"/>
      <c r="AJ92" s="641"/>
      <c r="AK92" s="641"/>
      <c r="AL92" s="641"/>
      <c r="AM92" s="641"/>
      <c r="AN92" s="641"/>
      <c r="AO92" s="641"/>
      <c r="AP92" s="641"/>
      <c r="AQ92" s="641"/>
      <c r="AR92" s="641"/>
      <c r="AS92" s="641"/>
      <c r="AT92" s="641"/>
      <c r="AU92" s="641"/>
      <c r="AV92" s="641"/>
      <c r="AW92" s="641"/>
      <c r="AX92" s="641"/>
      <c r="AY92" s="641"/>
      <c r="AZ92" s="641"/>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641"/>
      <c r="B93" s="640"/>
      <c r="C93" s="642"/>
      <c r="D93" s="652"/>
      <c r="E93" s="640"/>
      <c r="F93" s="641"/>
      <c r="G93" s="641"/>
      <c r="H93" s="641"/>
      <c r="I93" s="641"/>
      <c r="J93" s="641"/>
      <c r="K93" s="641"/>
      <c r="L93" s="641"/>
      <c r="M93" s="641"/>
      <c r="N93" s="641"/>
      <c r="O93" s="641"/>
      <c r="P93" s="641"/>
      <c r="Q93" s="641"/>
      <c r="R93" s="641"/>
      <c r="S93" s="641"/>
      <c r="T93" s="641"/>
      <c r="U93" s="641"/>
      <c r="V93" s="641"/>
      <c r="W93" s="641"/>
      <c r="X93" s="641"/>
      <c r="Y93" s="641"/>
      <c r="Z93" s="641"/>
      <c r="AA93" s="641"/>
      <c r="AB93" s="641"/>
      <c r="AC93" s="641"/>
      <c r="AD93" s="641"/>
      <c r="AE93" s="641"/>
      <c r="AF93" s="641"/>
      <c r="AG93" s="641"/>
      <c r="AH93" s="641"/>
      <c r="AI93" s="641"/>
      <c r="AJ93" s="641"/>
      <c r="AK93" s="641"/>
      <c r="AL93" s="641"/>
      <c r="AM93" s="641"/>
      <c r="AN93" s="641"/>
      <c r="AO93" s="641"/>
      <c r="AP93" s="641"/>
      <c r="AQ93" s="641"/>
      <c r="AR93" s="641"/>
      <c r="AS93" s="641"/>
      <c r="AT93" s="641"/>
      <c r="AU93" s="641"/>
      <c r="AV93" s="641"/>
      <c r="AW93" s="641"/>
      <c r="AX93" s="641"/>
      <c r="AY93" s="641"/>
      <c r="AZ93" s="641"/>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641"/>
      <c r="B94" s="640"/>
      <c r="C94" s="642"/>
      <c r="D94" s="652"/>
      <c r="E94" s="640"/>
      <c r="F94" s="641"/>
      <c r="G94" s="641"/>
      <c r="H94" s="641"/>
      <c r="I94" s="641"/>
      <c r="J94" s="641"/>
      <c r="K94" s="641"/>
      <c r="L94" s="641"/>
      <c r="M94" s="641"/>
      <c r="N94" s="641"/>
      <c r="O94" s="641"/>
      <c r="P94" s="641"/>
      <c r="Q94" s="641"/>
      <c r="R94" s="641"/>
      <c r="S94" s="641"/>
      <c r="T94" s="641"/>
      <c r="U94" s="641"/>
      <c r="V94" s="641"/>
      <c r="W94" s="641"/>
      <c r="X94" s="641"/>
      <c r="Y94" s="641"/>
      <c r="Z94" s="641"/>
      <c r="AA94" s="641"/>
      <c r="AB94" s="641"/>
      <c r="AC94" s="641"/>
      <c r="AD94" s="641"/>
      <c r="AE94" s="641"/>
      <c r="AF94" s="641"/>
      <c r="AG94" s="641"/>
      <c r="AH94" s="641"/>
      <c r="AI94" s="641"/>
      <c r="AJ94" s="641"/>
      <c r="AK94" s="641"/>
      <c r="AL94" s="641"/>
      <c r="AM94" s="641"/>
      <c r="AN94" s="641"/>
      <c r="AO94" s="641"/>
      <c r="AP94" s="641"/>
      <c r="AQ94" s="641"/>
      <c r="AR94" s="641"/>
      <c r="AS94" s="641"/>
      <c r="AT94" s="641"/>
      <c r="AU94" s="641"/>
      <c r="AV94" s="641"/>
      <c r="AW94" s="641"/>
      <c r="AX94" s="641"/>
      <c r="AY94" s="641"/>
      <c r="AZ94" s="641"/>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641"/>
      <c r="B95" s="640"/>
      <c r="C95" s="642"/>
      <c r="D95" s="652"/>
      <c r="E95" s="640"/>
      <c r="F95" s="641"/>
      <c r="G95" s="641"/>
      <c r="H95" s="641"/>
      <c r="I95" s="641"/>
      <c r="J95" s="641"/>
      <c r="K95" s="641"/>
      <c r="L95" s="641"/>
      <c r="M95" s="641"/>
      <c r="N95" s="641"/>
      <c r="O95" s="641"/>
      <c r="P95" s="641"/>
      <c r="Q95" s="641"/>
      <c r="R95" s="641"/>
      <c r="S95" s="641"/>
      <c r="T95" s="641"/>
      <c r="U95" s="641"/>
      <c r="V95" s="641"/>
      <c r="W95" s="641"/>
      <c r="X95" s="641"/>
      <c r="Y95" s="641"/>
      <c r="Z95" s="641"/>
      <c r="AA95" s="641"/>
      <c r="AB95" s="641"/>
      <c r="AC95" s="641"/>
      <c r="AD95" s="641"/>
      <c r="AE95" s="641"/>
      <c r="AF95" s="641"/>
      <c r="AG95" s="641"/>
      <c r="AH95" s="641"/>
      <c r="AI95" s="641"/>
      <c r="AJ95" s="641"/>
      <c r="AK95" s="641"/>
      <c r="AL95" s="641"/>
      <c r="AM95" s="641"/>
      <c r="AN95" s="641"/>
      <c r="AO95" s="641"/>
      <c r="AP95" s="641"/>
      <c r="AQ95" s="641"/>
      <c r="AR95" s="641"/>
      <c r="AS95" s="641"/>
      <c r="AT95" s="641"/>
      <c r="AU95" s="641"/>
      <c r="AV95" s="641"/>
      <c r="AW95" s="641"/>
      <c r="AX95" s="641"/>
      <c r="AY95" s="641"/>
      <c r="AZ95" s="641"/>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641"/>
      <c r="B96" s="640"/>
      <c r="C96" s="642"/>
      <c r="D96" s="652"/>
      <c r="E96" s="640"/>
      <c r="F96" s="641"/>
      <c r="G96" s="641"/>
      <c r="H96" s="641"/>
      <c r="I96" s="641"/>
      <c r="J96" s="641"/>
      <c r="K96" s="641"/>
      <c r="L96" s="641"/>
      <c r="M96" s="641"/>
      <c r="N96" s="641"/>
      <c r="O96" s="641"/>
      <c r="P96" s="641"/>
      <c r="Q96" s="641"/>
      <c r="R96" s="641"/>
      <c r="S96" s="641"/>
      <c r="T96" s="641"/>
      <c r="U96" s="641"/>
      <c r="V96" s="641"/>
      <c r="W96" s="641"/>
      <c r="X96" s="641"/>
      <c r="Y96" s="641"/>
      <c r="Z96" s="641"/>
      <c r="AA96" s="641"/>
      <c r="AB96" s="641"/>
      <c r="AC96" s="641"/>
      <c r="AD96" s="641"/>
      <c r="AE96" s="641"/>
      <c r="AF96" s="641"/>
      <c r="AG96" s="641"/>
      <c r="AH96" s="641"/>
      <c r="AI96" s="641"/>
      <c r="AJ96" s="641"/>
      <c r="AK96" s="641"/>
      <c r="AL96" s="641"/>
      <c r="AM96" s="641"/>
      <c r="AN96" s="641"/>
      <c r="AO96" s="641"/>
      <c r="AP96" s="641"/>
      <c r="AQ96" s="641"/>
      <c r="AR96" s="641"/>
      <c r="AS96" s="641"/>
      <c r="AT96" s="641"/>
      <c r="AU96" s="641"/>
      <c r="AV96" s="641"/>
      <c r="AW96" s="641"/>
      <c r="AX96" s="641"/>
      <c r="AY96" s="641"/>
      <c r="AZ96" s="641"/>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641"/>
      <c r="B97" s="640"/>
      <c r="C97" s="642"/>
      <c r="D97" s="652"/>
      <c r="E97" s="640"/>
      <c r="F97" s="641"/>
      <c r="G97" s="641"/>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1"/>
      <c r="AJ97" s="641"/>
      <c r="AK97" s="641"/>
      <c r="AL97" s="641"/>
      <c r="AM97" s="641"/>
      <c r="AN97" s="641"/>
      <c r="AO97" s="641"/>
      <c r="AP97" s="641"/>
      <c r="AQ97" s="641"/>
      <c r="AR97" s="641"/>
      <c r="AS97" s="641"/>
      <c r="AT97" s="641"/>
      <c r="AU97" s="641"/>
      <c r="AV97" s="641"/>
      <c r="AW97" s="641"/>
      <c r="AX97" s="641"/>
      <c r="AY97" s="641"/>
      <c r="AZ97" s="641"/>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641"/>
      <c r="B98" s="640"/>
      <c r="C98" s="642"/>
      <c r="D98" s="652"/>
      <c r="E98" s="640"/>
      <c r="F98" s="641"/>
      <c r="G98" s="641"/>
      <c r="H98" s="641"/>
      <c r="I98" s="641"/>
      <c r="J98" s="641"/>
      <c r="K98" s="641"/>
      <c r="L98" s="641"/>
      <c r="M98" s="641"/>
      <c r="N98" s="641"/>
      <c r="O98" s="641"/>
      <c r="P98" s="641"/>
      <c r="Q98" s="641"/>
      <c r="R98" s="641"/>
      <c r="S98" s="641"/>
      <c r="T98" s="641"/>
      <c r="U98" s="641"/>
      <c r="V98" s="641"/>
      <c r="W98" s="641"/>
      <c r="X98" s="641"/>
      <c r="Y98" s="641"/>
      <c r="Z98" s="641"/>
      <c r="AA98" s="641"/>
      <c r="AB98" s="641"/>
      <c r="AC98" s="641"/>
      <c r="AD98" s="641"/>
      <c r="AE98" s="641"/>
      <c r="AF98" s="641"/>
      <c r="AG98" s="641"/>
      <c r="AH98" s="641"/>
      <c r="AI98" s="641"/>
      <c r="AJ98" s="641"/>
      <c r="AK98" s="641"/>
      <c r="AL98" s="641"/>
      <c r="AM98" s="641"/>
      <c r="AN98" s="641"/>
      <c r="AO98" s="641"/>
      <c r="AP98" s="641"/>
      <c r="AQ98" s="641"/>
      <c r="AR98" s="641"/>
      <c r="AS98" s="641"/>
      <c r="AT98" s="641"/>
      <c r="AU98" s="641"/>
      <c r="AV98" s="641"/>
      <c r="AW98" s="641"/>
      <c r="AX98" s="641"/>
      <c r="AY98" s="641"/>
      <c r="AZ98" s="641"/>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641"/>
      <c r="B99" s="640"/>
      <c r="C99" s="642"/>
      <c r="D99" s="652"/>
      <c r="E99" s="640"/>
      <c r="F99" s="641"/>
      <c r="G99" s="641"/>
      <c r="H99" s="641"/>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641"/>
      <c r="AQ99" s="641"/>
      <c r="AR99" s="641"/>
      <c r="AS99" s="641"/>
      <c r="AT99" s="641"/>
      <c r="AU99" s="641"/>
      <c r="AV99" s="641"/>
      <c r="AW99" s="641"/>
      <c r="AX99" s="641"/>
      <c r="AY99" s="641"/>
      <c r="AZ99" s="641"/>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641"/>
      <c r="B100" s="640"/>
      <c r="C100" s="642"/>
      <c r="D100" s="652"/>
      <c r="E100" s="640"/>
      <c r="F100" s="641"/>
      <c r="G100" s="641"/>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H100" s="641"/>
      <c r="AI100" s="641"/>
      <c r="AJ100" s="641"/>
      <c r="AK100" s="641"/>
      <c r="AL100" s="641"/>
      <c r="AM100" s="641"/>
      <c r="AN100" s="641"/>
      <c r="AO100" s="641"/>
      <c r="AP100" s="641"/>
      <c r="AQ100" s="641"/>
      <c r="AR100" s="641"/>
      <c r="AS100" s="641"/>
      <c r="AT100" s="641"/>
      <c r="AU100" s="641"/>
      <c r="AV100" s="641"/>
      <c r="AW100" s="641"/>
      <c r="AX100" s="641"/>
      <c r="AY100" s="641"/>
      <c r="AZ100" s="641"/>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641"/>
      <c r="B101" s="640"/>
      <c r="C101" s="642"/>
      <c r="D101" s="652"/>
      <c r="E101" s="640"/>
      <c r="F101" s="641"/>
      <c r="G101" s="641"/>
      <c r="H101" s="641"/>
      <c r="I101" s="641"/>
      <c r="J101" s="641"/>
      <c r="K101" s="641"/>
      <c r="L101" s="641"/>
      <c r="M101" s="641"/>
      <c r="N101" s="641"/>
      <c r="O101" s="641"/>
      <c r="P101" s="641"/>
      <c r="Q101" s="641"/>
      <c r="R101" s="641"/>
      <c r="S101" s="641"/>
      <c r="T101" s="641"/>
      <c r="U101" s="641"/>
      <c r="V101" s="641"/>
      <c r="W101" s="641"/>
      <c r="X101" s="641"/>
      <c r="Y101" s="641"/>
      <c r="Z101" s="641"/>
      <c r="AA101" s="641"/>
      <c r="AB101" s="641"/>
      <c r="AC101" s="641"/>
      <c r="AD101" s="641"/>
      <c r="AE101" s="641"/>
      <c r="AF101" s="641"/>
      <c r="AG101" s="641"/>
      <c r="AH101" s="641"/>
      <c r="AI101" s="641"/>
      <c r="AJ101" s="641"/>
      <c r="AK101" s="641"/>
      <c r="AL101" s="641"/>
      <c r="AM101" s="641"/>
      <c r="AN101" s="641"/>
      <c r="AO101" s="641"/>
      <c r="AP101" s="641"/>
      <c r="AQ101" s="641"/>
      <c r="AR101" s="641"/>
      <c r="AS101" s="641"/>
      <c r="AT101" s="641"/>
      <c r="AU101" s="641"/>
      <c r="AV101" s="641"/>
      <c r="AW101" s="641"/>
      <c r="AX101" s="641"/>
      <c r="AY101" s="641"/>
      <c r="AZ101" s="641"/>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641"/>
      <c r="B102" s="640"/>
      <c r="C102" s="642"/>
      <c r="D102" s="652"/>
      <c r="E102" s="640"/>
      <c r="F102" s="641"/>
      <c r="G102" s="641"/>
      <c r="H102" s="641"/>
      <c r="I102" s="641"/>
      <c r="J102" s="641"/>
      <c r="K102" s="641"/>
      <c r="L102" s="641"/>
      <c r="M102" s="641"/>
      <c r="N102" s="641"/>
      <c r="O102" s="641"/>
      <c r="P102" s="641"/>
      <c r="Q102" s="641"/>
      <c r="R102" s="641"/>
      <c r="S102" s="641"/>
      <c r="T102" s="641"/>
      <c r="U102" s="641"/>
      <c r="V102" s="641"/>
      <c r="W102" s="641"/>
      <c r="X102" s="641"/>
      <c r="Y102" s="641"/>
      <c r="Z102" s="641"/>
      <c r="AA102" s="641"/>
      <c r="AB102" s="641"/>
      <c r="AC102" s="641"/>
      <c r="AD102" s="641"/>
      <c r="AE102" s="641"/>
      <c r="AF102" s="641"/>
      <c r="AG102" s="641"/>
      <c r="AH102" s="641"/>
      <c r="AI102" s="641"/>
      <c r="AJ102" s="641"/>
      <c r="AK102" s="641"/>
      <c r="AL102" s="641"/>
      <c r="AM102" s="641"/>
      <c r="AN102" s="641"/>
      <c r="AO102" s="641"/>
      <c r="AP102" s="641"/>
      <c r="AQ102" s="641"/>
      <c r="AR102" s="641"/>
      <c r="AS102" s="641"/>
      <c r="AT102" s="641"/>
      <c r="AU102" s="641"/>
      <c r="AV102" s="641"/>
      <c r="AW102" s="641"/>
      <c r="AX102" s="641"/>
      <c r="AY102" s="641"/>
      <c r="AZ102" s="641"/>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641"/>
      <c r="B103" s="640"/>
      <c r="C103" s="642"/>
      <c r="D103" s="652"/>
      <c r="E103" s="640"/>
      <c r="F103" s="641"/>
      <c r="G103" s="641"/>
      <c r="H103" s="641"/>
      <c r="I103" s="641"/>
      <c r="J103" s="641"/>
      <c r="K103" s="641"/>
      <c r="L103" s="641"/>
      <c r="M103" s="641"/>
      <c r="N103" s="641"/>
      <c r="O103" s="641"/>
      <c r="P103" s="641"/>
      <c r="Q103" s="641"/>
      <c r="R103" s="641"/>
      <c r="S103" s="641"/>
      <c r="T103" s="641"/>
      <c r="U103" s="641"/>
      <c r="V103" s="641"/>
      <c r="W103" s="641"/>
      <c r="X103" s="641"/>
      <c r="Y103" s="641"/>
      <c r="Z103" s="641"/>
      <c r="AA103" s="641"/>
      <c r="AB103" s="641"/>
      <c r="AC103" s="641"/>
      <c r="AD103" s="641"/>
      <c r="AE103" s="641"/>
      <c r="AF103" s="641"/>
      <c r="AG103" s="641"/>
      <c r="AH103" s="641"/>
      <c r="AI103" s="641"/>
      <c r="AJ103" s="641"/>
      <c r="AK103" s="641"/>
      <c r="AL103" s="641"/>
      <c r="AM103" s="641"/>
      <c r="AN103" s="641"/>
      <c r="AO103" s="641"/>
      <c r="AP103" s="641"/>
      <c r="AQ103" s="641"/>
      <c r="AR103" s="641"/>
      <c r="AS103" s="641"/>
      <c r="AT103" s="641"/>
      <c r="AU103" s="641"/>
      <c r="AV103" s="641"/>
      <c r="AW103" s="641"/>
      <c r="AX103" s="641"/>
      <c r="AY103" s="641"/>
      <c r="AZ103" s="641"/>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641"/>
      <c r="B104" s="640"/>
      <c r="C104" s="642"/>
      <c r="D104" s="652"/>
      <c r="E104" s="640"/>
      <c r="F104" s="641"/>
      <c r="G104" s="641"/>
      <c r="H104" s="641"/>
      <c r="I104" s="641"/>
      <c r="J104" s="641"/>
      <c r="K104" s="641"/>
      <c r="L104" s="641"/>
      <c r="M104" s="641"/>
      <c r="N104" s="641"/>
      <c r="O104" s="641"/>
      <c r="P104" s="641"/>
      <c r="Q104" s="641"/>
      <c r="R104" s="641"/>
      <c r="S104" s="641"/>
      <c r="T104" s="641"/>
      <c r="U104" s="641"/>
      <c r="V104" s="641"/>
      <c r="W104" s="641"/>
      <c r="X104" s="641"/>
      <c r="Y104" s="641"/>
      <c r="Z104" s="641"/>
      <c r="AA104" s="641"/>
      <c r="AB104" s="641"/>
      <c r="AC104" s="641"/>
      <c r="AD104" s="641"/>
      <c r="AE104" s="641"/>
      <c r="AF104" s="641"/>
      <c r="AG104" s="641"/>
      <c r="AH104" s="641"/>
      <c r="AI104" s="641"/>
      <c r="AJ104" s="641"/>
      <c r="AK104" s="641"/>
      <c r="AL104" s="641"/>
      <c r="AM104" s="641"/>
      <c r="AN104" s="641"/>
      <c r="AO104" s="641"/>
      <c r="AP104" s="641"/>
      <c r="AQ104" s="641"/>
      <c r="AR104" s="641"/>
      <c r="AS104" s="641"/>
      <c r="AT104" s="641"/>
      <c r="AU104" s="641"/>
      <c r="AV104" s="641"/>
      <c r="AW104" s="641"/>
      <c r="AX104" s="641"/>
      <c r="AY104" s="641"/>
      <c r="AZ104" s="641"/>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641"/>
      <c r="B105" s="640"/>
      <c r="C105" s="642"/>
      <c r="D105" s="652"/>
      <c r="E105" s="640"/>
      <c r="F105" s="641"/>
      <c r="G105" s="641"/>
      <c r="H105" s="641"/>
      <c r="I105" s="641"/>
      <c r="J105" s="641"/>
      <c r="K105" s="641"/>
      <c r="L105" s="641"/>
      <c r="M105" s="641"/>
      <c r="N105" s="641"/>
      <c r="O105" s="641"/>
      <c r="P105" s="641"/>
      <c r="Q105" s="641"/>
      <c r="R105" s="641"/>
      <c r="S105" s="641"/>
      <c r="T105" s="641"/>
      <c r="U105" s="641"/>
      <c r="V105" s="641"/>
      <c r="W105" s="641"/>
      <c r="X105" s="641"/>
      <c r="Y105" s="641"/>
      <c r="Z105" s="641"/>
      <c r="AA105" s="641"/>
      <c r="AB105" s="641"/>
      <c r="AC105" s="641"/>
      <c r="AD105" s="641"/>
      <c r="AE105" s="641"/>
      <c r="AF105" s="641"/>
      <c r="AG105" s="641"/>
      <c r="AH105" s="641"/>
      <c r="AI105" s="641"/>
      <c r="AJ105" s="641"/>
      <c r="AK105" s="641"/>
      <c r="AL105" s="641"/>
      <c r="AM105" s="641"/>
      <c r="AN105" s="641"/>
      <c r="AO105" s="641"/>
      <c r="AP105" s="641"/>
      <c r="AQ105" s="641"/>
      <c r="AR105" s="641"/>
      <c r="AS105" s="641"/>
      <c r="AT105" s="641"/>
      <c r="AU105" s="641"/>
      <c r="AV105" s="641"/>
      <c r="AW105" s="641"/>
      <c r="AX105" s="641"/>
      <c r="AY105" s="641"/>
      <c r="AZ105" s="641"/>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641"/>
      <c r="B106" s="640"/>
      <c r="C106" s="642"/>
      <c r="D106" s="652"/>
      <c r="E106" s="640"/>
      <c r="F106" s="641"/>
      <c r="G106" s="641"/>
      <c r="H106" s="641"/>
      <c r="I106" s="641"/>
      <c r="J106" s="641"/>
      <c r="K106" s="641"/>
      <c r="L106" s="641"/>
      <c r="M106" s="641"/>
      <c r="N106" s="641"/>
      <c r="O106" s="641"/>
      <c r="P106" s="641"/>
      <c r="Q106" s="641"/>
      <c r="R106" s="641"/>
      <c r="S106" s="641"/>
      <c r="T106" s="641"/>
      <c r="U106" s="641"/>
      <c r="V106" s="641"/>
      <c r="W106" s="641"/>
      <c r="X106" s="641"/>
      <c r="Y106" s="641"/>
      <c r="Z106" s="641"/>
      <c r="AA106" s="641"/>
      <c r="AB106" s="641"/>
      <c r="AC106" s="641"/>
      <c r="AD106" s="641"/>
      <c r="AE106" s="641"/>
      <c r="AF106" s="641"/>
      <c r="AG106" s="641"/>
      <c r="AH106" s="641"/>
      <c r="AI106" s="641"/>
      <c r="AJ106" s="641"/>
      <c r="AK106" s="641"/>
      <c r="AL106" s="641"/>
      <c r="AM106" s="641"/>
      <c r="AN106" s="641"/>
      <c r="AO106" s="641"/>
      <c r="AP106" s="641"/>
      <c r="AQ106" s="641"/>
      <c r="AR106" s="641"/>
      <c r="AS106" s="641"/>
      <c r="AT106" s="641"/>
      <c r="AU106" s="641"/>
      <c r="AV106" s="641"/>
      <c r="AW106" s="641"/>
      <c r="AX106" s="641"/>
      <c r="AY106" s="641"/>
      <c r="AZ106" s="641"/>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641"/>
      <c r="B107" s="640"/>
      <c r="C107" s="642"/>
      <c r="D107" s="652"/>
      <c r="E107" s="640"/>
      <c r="F107" s="641"/>
      <c r="G107" s="641"/>
      <c r="H107" s="641"/>
      <c r="I107" s="641"/>
      <c r="J107" s="641"/>
      <c r="K107" s="641"/>
      <c r="L107" s="641"/>
      <c r="M107" s="641"/>
      <c r="N107" s="641"/>
      <c r="O107" s="641"/>
      <c r="P107" s="641"/>
      <c r="Q107" s="641"/>
      <c r="R107" s="641"/>
      <c r="S107" s="641"/>
      <c r="T107" s="641"/>
      <c r="U107" s="641"/>
      <c r="V107" s="641"/>
      <c r="W107" s="641"/>
      <c r="X107" s="641"/>
      <c r="Y107" s="641"/>
      <c r="Z107" s="641"/>
      <c r="AA107" s="641"/>
      <c r="AB107" s="641"/>
      <c r="AC107" s="641"/>
      <c r="AD107" s="641"/>
      <c r="AE107" s="641"/>
      <c r="AF107" s="641"/>
      <c r="AG107" s="641"/>
      <c r="AH107" s="641"/>
      <c r="AI107" s="641"/>
      <c r="AJ107" s="641"/>
      <c r="AK107" s="641"/>
      <c r="AL107" s="641"/>
      <c r="AM107" s="641"/>
      <c r="AN107" s="641"/>
      <c r="AO107" s="641"/>
      <c r="AP107" s="641"/>
      <c r="AQ107" s="641"/>
      <c r="AR107" s="641"/>
      <c r="AS107" s="641"/>
      <c r="AT107" s="641"/>
      <c r="AU107" s="641"/>
      <c r="AV107" s="641"/>
      <c r="AW107" s="641"/>
      <c r="AX107" s="641"/>
      <c r="AY107" s="641"/>
      <c r="AZ107" s="641"/>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641"/>
      <c r="B108" s="640"/>
      <c r="C108" s="642"/>
      <c r="D108" s="652"/>
      <c r="E108" s="640"/>
      <c r="F108" s="641"/>
      <c r="G108" s="641"/>
      <c r="H108" s="641"/>
      <c r="I108" s="641"/>
      <c r="J108" s="641"/>
      <c r="K108" s="641"/>
      <c r="L108" s="641"/>
      <c r="M108" s="641"/>
      <c r="N108" s="641"/>
      <c r="O108" s="641"/>
      <c r="P108" s="641"/>
      <c r="Q108" s="641"/>
      <c r="R108" s="641"/>
      <c r="S108" s="641"/>
      <c r="T108" s="641"/>
      <c r="U108" s="641"/>
      <c r="V108" s="641"/>
      <c r="W108" s="641"/>
      <c r="X108" s="641"/>
      <c r="Y108" s="641"/>
      <c r="Z108" s="641"/>
      <c r="AA108" s="641"/>
      <c r="AB108" s="641"/>
      <c r="AC108" s="641"/>
      <c r="AD108" s="641"/>
      <c r="AE108" s="641"/>
      <c r="AF108" s="641"/>
      <c r="AG108" s="641"/>
      <c r="AH108" s="641"/>
      <c r="AI108" s="641"/>
      <c r="AJ108" s="641"/>
      <c r="AK108" s="641"/>
      <c r="AL108" s="641"/>
      <c r="AM108" s="641"/>
      <c r="AN108" s="641"/>
      <c r="AO108" s="641"/>
      <c r="AP108" s="641"/>
      <c r="AQ108" s="641"/>
      <c r="AR108" s="641"/>
      <c r="AS108" s="641"/>
      <c r="AT108" s="641"/>
      <c r="AU108" s="641"/>
      <c r="AV108" s="641"/>
      <c r="AW108" s="641"/>
      <c r="AX108" s="641"/>
      <c r="AY108" s="641"/>
      <c r="AZ108" s="641"/>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641"/>
      <c r="B109" s="640"/>
      <c r="C109" s="642"/>
      <c r="D109" s="652"/>
      <c r="E109" s="640"/>
      <c r="F109" s="641"/>
      <c r="G109" s="641"/>
      <c r="H109" s="641"/>
      <c r="I109" s="641"/>
      <c r="J109" s="641"/>
      <c r="K109" s="641"/>
      <c r="L109" s="641"/>
      <c r="M109" s="641"/>
      <c r="N109" s="641"/>
      <c r="O109" s="641"/>
      <c r="P109" s="641"/>
      <c r="Q109" s="641"/>
      <c r="R109" s="641"/>
      <c r="S109" s="641"/>
      <c r="T109" s="641"/>
      <c r="U109" s="641"/>
      <c r="V109" s="641"/>
      <c r="W109" s="641"/>
      <c r="X109" s="641"/>
      <c r="Y109" s="641"/>
      <c r="Z109" s="641"/>
      <c r="AA109" s="641"/>
      <c r="AB109" s="641"/>
      <c r="AC109" s="641"/>
      <c r="AD109" s="641"/>
      <c r="AE109" s="641"/>
      <c r="AF109" s="641"/>
      <c r="AG109" s="641"/>
      <c r="AH109" s="641"/>
      <c r="AI109" s="641"/>
      <c r="AJ109" s="641"/>
      <c r="AK109" s="641"/>
      <c r="AL109" s="641"/>
      <c r="AM109" s="641"/>
      <c r="AN109" s="641"/>
      <c r="AO109" s="641"/>
      <c r="AP109" s="641"/>
      <c r="AQ109" s="641"/>
      <c r="AR109" s="641"/>
      <c r="AS109" s="641"/>
      <c r="AT109" s="641"/>
      <c r="AU109" s="641"/>
      <c r="AV109" s="641"/>
      <c r="AW109" s="641"/>
      <c r="AX109" s="641"/>
      <c r="AY109" s="641"/>
      <c r="AZ109" s="641"/>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641"/>
      <c r="B110" s="640"/>
      <c r="C110" s="642"/>
      <c r="D110" s="652"/>
      <c r="E110" s="640"/>
      <c r="F110" s="641"/>
      <c r="G110" s="641"/>
      <c r="H110" s="641"/>
      <c r="I110" s="641"/>
      <c r="J110" s="641"/>
      <c r="K110" s="641"/>
      <c r="L110" s="641"/>
      <c r="M110" s="641"/>
      <c r="N110" s="641"/>
      <c r="O110" s="641"/>
      <c r="P110" s="641"/>
      <c r="Q110" s="641"/>
      <c r="R110" s="641"/>
      <c r="S110" s="641"/>
      <c r="T110" s="641"/>
      <c r="U110" s="641"/>
      <c r="V110" s="641"/>
      <c r="W110" s="641"/>
      <c r="X110" s="641"/>
      <c r="Y110" s="641"/>
      <c r="Z110" s="641"/>
      <c r="AA110" s="641"/>
      <c r="AB110" s="641"/>
      <c r="AC110" s="641"/>
      <c r="AD110" s="641"/>
      <c r="AE110" s="641"/>
      <c r="AF110" s="641"/>
      <c r="AG110" s="641"/>
      <c r="AH110" s="641"/>
      <c r="AI110" s="641"/>
      <c r="AJ110" s="641"/>
      <c r="AK110" s="641"/>
      <c r="AL110" s="641"/>
      <c r="AM110" s="641"/>
      <c r="AN110" s="641"/>
      <c r="AO110" s="641"/>
      <c r="AP110" s="641"/>
      <c r="AQ110" s="641"/>
      <c r="AR110" s="641"/>
      <c r="AS110" s="641"/>
      <c r="AT110" s="641"/>
      <c r="AU110" s="641"/>
      <c r="AV110" s="641"/>
      <c r="AW110" s="641"/>
      <c r="AX110" s="641"/>
      <c r="AY110" s="641"/>
      <c r="AZ110" s="641"/>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641"/>
      <c r="B111" s="640"/>
      <c r="C111" s="642"/>
      <c r="D111" s="652"/>
      <c r="E111" s="640"/>
      <c r="F111" s="641"/>
      <c r="G111" s="641"/>
      <c r="H111" s="641"/>
      <c r="I111" s="641"/>
      <c r="J111" s="641"/>
      <c r="K111" s="641"/>
      <c r="L111" s="641"/>
      <c r="M111" s="641"/>
      <c r="N111" s="641"/>
      <c r="O111" s="641"/>
      <c r="P111" s="641"/>
      <c r="Q111" s="641"/>
      <c r="R111" s="641"/>
      <c r="S111" s="641"/>
      <c r="T111" s="641"/>
      <c r="U111" s="641"/>
      <c r="V111" s="641"/>
      <c r="W111" s="641"/>
      <c r="X111" s="641"/>
      <c r="Y111" s="641"/>
      <c r="Z111" s="641"/>
      <c r="AA111" s="641"/>
      <c r="AB111" s="641"/>
      <c r="AC111" s="641"/>
      <c r="AD111" s="641"/>
      <c r="AE111" s="641"/>
      <c r="AF111" s="641"/>
      <c r="AG111" s="641"/>
      <c r="AH111" s="641"/>
      <c r="AI111" s="641"/>
      <c r="AJ111" s="641"/>
      <c r="AK111" s="641"/>
      <c r="AL111" s="641"/>
      <c r="AM111" s="641"/>
      <c r="AN111" s="641"/>
      <c r="AO111" s="641"/>
      <c r="AP111" s="641"/>
      <c r="AQ111" s="641"/>
      <c r="AR111" s="641"/>
      <c r="AS111" s="641"/>
      <c r="AT111" s="641"/>
      <c r="AU111" s="641"/>
      <c r="AV111" s="641"/>
      <c r="AW111" s="641"/>
      <c r="AX111" s="641"/>
      <c r="AY111" s="641"/>
      <c r="AZ111" s="641"/>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641"/>
      <c r="B112" s="640"/>
      <c r="C112" s="642"/>
      <c r="D112" s="652"/>
      <c r="E112" s="640"/>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c r="AW112" s="641"/>
      <c r="AX112" s="641"/>
      <c r="AY112" s="641"/>
      <c r="AZ112" s="641"/>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641"/>
      <c r="B113" s="640"/>
      <c r="C113" s="642"/>
      <c r="D113" s="652"/>
      <c r="E113" s="640"/>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c r="AJ113" s="641"/>
      <c r="AK113" s="641"/>
      <c r="AL113" s="641"/>
      <c r="AM113" s="641"/>
      <c r="AN113" s="641"/>
      <c r="AO113" s="641"/>
      <c r="AP113" s="641"/>
      <c r="AQ113" s="641"/>
      <c r="AR113" s="641"/>
      <c r="AS113" s="641"/>
      <c r="AT113" s="641"/>
      <c r="AU113" s="641"/>
      <c r="AV113" s="641"/>
      <c r="AW113" s="641"/>
      <c r="AX113" s="641"/>
      <c r="AY113" s="641"/>
      <c r="AZ113" s="641"/>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641"/>
      <c r="B114" s="640"/>
      <c r="C114" s="642"/>
      <c r="D114" s="652"/>
      <c r="E114" s="640"/>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1"/>
      <c r="AL114" s="641"/>
      <c r="AM114" s="641"/>
      <c r="AN114" s="641"/>
      <c r="AO114" s="641"/>
      <c r="AP114" s="641"/>
      <c r="AQ114" s="641"/>
      <c r="AR114" s="641"/>
      <c r="AS114" s="641"/>
      <c r="AT114" s="641"/>
      <c r="AU114" s="641"/>
      <c r="AV114" s="641"/>
      <c r="AW114" s="641"/>
      <c r="AX114" s="641"/>
      <c r="AY114" s="641"/>
      <c r="AZ114" s="641"/>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641"/>
      <c r="B115" s="640"/>
      <c r="C115" s="642"/>
      <c r="D115" s="652"/>
      <c r="E115" s="640"/>
      <c r="F115" s="641"/>
      <c r="G115" s="641"/>
      <c r="H115" s="641"/>
      <c r="I115" s="641"/>
      <c r="J115" s="641"/>
      <c r="K115" s="641"/>
      <c r="L115" s="641"/>
      <c r="M115" s="641"/>
      <c r="N115" s="641"/>
      <c r="O115" s="641"/>
      <c r="P115" s="641"/>
      <c r="Q115" s="641"/>
      <c r="R115" s="641"/>
      <c r="S115" s="641"/>
      <c r="T115" s="641"/>
      <c r="U115" s="641"/>
      <c r="V115" s="641"/>
      <c r="W115" s="641"/>
      <c r="X115" s="641"/>
      <c r="Y115" s="641"/>
      <c r="Z115" s="641"/>
      <c r="AA115" s="641"/>
      <c r="AB115" s="641"/>
      <c r="AC115" s="641"/>
      <c r="AD115" s="641"/>
      <c r="AE115" s="641"/>
      <c r="AF115" s="641"/>
      <c r="AG115" s="641"/>
      <c r="AH115" s="641"/>
      <c r="AI115" s="641"/>
      <c r="AJ115" s="641"/>
      <c r="AK115" s="641"/>
      <c r="AL115" s="641"/>
      <c r="AM115" s="641"/>
      <c r="AN115" s="641"/>
      <c r="AO115" s="641"/>
      <c r="AP115" s="641"/>
      <c r="AQ115" s="641"/>
      <c r="AR115" s="641"/>
      <c r="AS115" s="641"/>
      <c r="AT115" s="641"/>
      <c r="AU115" s="641"/>
      <c r="AV115" s="641"/>
      <c r="AW115" s="641"/>
      <c r="AX115" s="641"/>
      <c r="AY115" s="641"/>
      <c r="AZ115" s="641"/>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641"/>
      <c r="B116" s="640"/>
      <c r="C116" s="642"/>
      <c r="D116" s="652"/>
      <c r="E116" s="640"/>
      <c r="F116" s="641"/>
      <c r="G116" s="641"/>
      <c r="H116" s="641"/>
      <c r="I116" s="641"/>
      <c r="J116" s="641"/>
      <c r="K116" s="641"/>
      <c r="L116" s="641"/>
      <c r="M116" s="641"/>
      <c r="N116" s="641"/>
      <c r="O116" s="641"/>
      <c r="P116" s="641"/>
      <c r="Q116" s="641"/>
      <c r="R116" s="641"/>
      <c r="S116" s="641"/>
      <c r="T116" s="641"/>
      <c r="U116" s="641"/>
      <c r="V116" s="641"/>
      <c r="W116" s="641"/>
      <c r="X116" s="641"/>
      <c r="Y116" s="641"/>
      <c r="Z116" s="641"/>
      <c r="AA116" s="641"/>
      <c r="AB116" s="641"/>
      <c r="AC116" s="641"/>
      <c r="AD116" s="641"/>
      <c r="AE116" s="641"/>
      <c r="AF116" s="641"/>
      <c r="AG116" s="641"/>
      <c r="AH116" s="641"/>
      <c r="AI116" s="641"/>
      <c r="AJ116" s="641"/>
      <c r="AK116" s="641"/>
      <c r="AL116" s="641"/>
      <c r="AM116" s="641"/>
      <c r="AN116" s="641"/>
      <c r="AO116" s="641"/>
      <c r="AP116" s="641"/>
      <c r="AQ116" s="641"/>
      <c r="AR116" s="641"/>
      <c r="AS116" s="641"/>
      <c r="AT116" s="641"/>
      <c r="AU116" s="641"/>
      <c r="AV116" s="641"/>
      <c r="AW116" s="641"/>
      <c r="AX116" s="641"/>
      <c r="AY116" s="641"/>
      <c r="AZ116" s="641"/>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641"/>
      <c r="B117" s="640"/>
      <c r="C117" s="642"/>
      <c r="D117" s="652"/>
      <c r="E117" s="640"/>
      <c r="F117" s="641"/>
      <c r="G117" s="641"/>
      <c r="H117" s="641"/>
      <c r="I117" s="641"/>
      <c r="J117" s="641"/>
      <c r="K117" s="641"/>
      <c r="L117" s="641"/>
      <c r="M117" s="641"/>
      <c r="N117" s="641"/>
      <c r="O117" s="641"/>
      <c r="P117" s="641"/>
      <c r="Q117" s="641"/>
      <c r="R117" s="641"/>
      <c r="S117" s="641"/>
      <c r="T117" s="641"/>
      <c r="U117" s="641"/>
      <c r="V117" s="641"/>
      <c r="W117" s="641"/>
      <c r="X117" s="641"/>
      <c r="Y117" s="641"/>
      <c r="Z117" s="641"/>
      <c r="AA117" s="641"/>
      <c r="AB117" s="641"/>
      <c r="AC117" s="641"/>
      <c r="AD117" s="641"/>
      <c r="AE117" s="641"/>
      <c r="AF117" s="641"/>
      <c r="AG117" s="641"/>
      <c r="AH117" s="641"/>
      <c r="AI117" s="641"/>
      <c r="AJ117" s="641"/>
      <c r="AK117" s="641"/>
      <c r="AL117" s="641"/>
      <c r="AM117" s="641"/>
      <c r="AN117" s="641"/>
      <c r="AO117" s="641"/>
      <c r="AP117" s="641"/>
      <c r="AQ117" s="641"/>
      <c r="AR117" s="641"/>
      <c r="AS117" s="641"/>
      <c r="AT117" s="641"/>
      <c r="AU117" s="641"/>
      <c r="AV117" s="641"/>
      <c r="AW117" s="641"/>
      <c r="AX117" s="641"/>
      <c r="AY117" s="641"/>
      <c r="AZ117" s="641"/>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641"/>
      <c r="B118" s="640"/>
      <c r="C118" s="642"/>
      <c r="D118" s="652"/>
      <c r="E118" s="640"/>
      <c r="F118" s="641"/>
      <c r="G118" s="641"/>
      <c r="H118" s="641"/>
      <c r="I118" s="641"/>
      <c r="J118" s="641"/>
      <c r="K118" s="641"/>
      <c r="L118" s="641"/>
      <c r="M118" s="641"/>
      <c r="N118" s="641"/>
      <c r="O118" s="641"/>
      <c r="P118" s="641"/>
      <c r="Q118" s="641"/>
      <c r="R118" s="641"/>
      <c r="S118" s="641"/>
      <c r="T118" s="641"/>
      <c r="U118" s="641"/>
      <c r="V118" s="641"/>
      <c r="W118" s="641"/>
      <c r="X118" s="641"/>
      <c r="Y118" s="641"/>
      <c r="Z118" s="641"/>
      <c r="AA118" s="641"/>
      <c r="AB118" s="641"/>
      <c r="AC118" s="641"/>
      <c r="AD118" s="641"/>
      <c r="AE118" s="641"/>
      <c r="AF118" s="641"/>
      <c r="AG118" s="641"/>
      <c r="AH118" s="641"/>
      <c r="AI118" s="641"/>
      <c r="AJ118" s="641"/>
      <c r="AK118" s="641"/>
      <c r="AL118" s="641"/>
      <c r="AM118" s="641"/>
      <c r="AN118" s="641"/>
      <c r="AO118" s="641"/>
      <c r="AP118" s="641"/>
      <c r="AQ118" s="641"/>
      <c r="AR118" s="641"/>
      <c r="AS118" s="641"/>
      <c r="AT118" s="641"/>
      <c r="AU118" s="641"/>
      <c r="AV118" s="641"/>
      <c r="AW118" s="641"/>
      <c r="AX118" s="641"/>
      <c r="AY118" s="641"/>
      <c r="AZ118" s="641"/>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641"/>
      <c r="B119" s="640"/>
      <c r="C119" s="642"/>
      <c r="D119" s="652"/>
      <c r="E119" s="640"/>
      <c r="F119" s="641"/>
      <c r="G119" s="641"/>
      <c r="H119" s="641"/>
      <c r="I119" s="641"/>
      <c r="J119" s="641"/>
      <c r="K119" s="641"/>
      <c r="L119" s="641"/>
      <c r="M119" s="641"/>
      <c r="N119" s="641"/>
      <c r="O119" s="641"/>
      <c r="P119" s="641"/>
      <c r="Q119" s="641"/>
      <c r="R119" s="641"/>
      <c r="S119" s="641"/>
      <c r="T119" s="641"/>
      <c r="U119" s="641"/>
      <c r="V119" s="641"/>
      <c r="W119" s="641"/>
      <c r="X119" s="641"/>
      <c r="Y119" s="641"/>
      <c r="Z119" s="641"/>
      <c r="AA119" s="641"/>
      <c r="AB119" s="641"/>
      <c r="AC119" s="641"/>
      <c r="AD119" s="641"/>
      <c r="AE119" s="641"/>
      <c r="AF119" s="641"/>
      <c r="AG119" s="641"/>
      <c r="AH119" s="641"/>
      <c r="AI119" s="641"/>
      <c r="AJ119" s="641"/>
      <c r="AK119" s="641"/>
      <c r="AL119" s="641"/>
      <c r="AM119" s="641"/>
      <c r="AN119" s="641"/>
      <c r="AO119" s="641"/>
      <c r="AP119" s="641"/>
      <c r="AQ119" s="641"/>
      <c r="AR119" s="641"/>
      <c r="AS119" s="641"/>
      <c r="AT119" s="641"/>
      <c r="AU119" s="641"/>
      <c r="AV119" s="641"/>
      <c r="AW119" s="641"/>
      <c r="AX119" s="641"/>
      <c r="AY119" s="641"/>
      <c r="AZ119" s="641"/>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641"/>
      <c r="B120" s="640"/>
      <c r="C120" s="642"/>
      <c r="D120" s="652"/>
      <c r="E120" s="640"/>
      <c r="F120" s="641"/>
      <c r="G120" s="641"/>
      <c r="H120" s="641"/>
      <c r="I120" s="641"/>
      <c r="J120" s="641"/>
      <c r="K120" s="641"/>
      <c r="L120" s="641"/>
      <c r="M120" s="641"/>
      <c r="N120" s="641"/>
      <c r="O120" s="641"/>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L120" s="641"/>
      <c r="AM120" s="641"/>
      <c r="AN120" s="641"/>
      <c r="AO120" s="641"/>
      <c r="AP120" s="641"/>
      <c r="AQ120" s="641"/>
      <c r="AR120" s="641"/>
      <c r="AS120" s="641"/>
      <c r="AT120" s="641"/>
      <c r="AU120" s="641"/>
      <c r="AV120" s="641"/>
      <c r="AW120" s="641"/>
      <c r="AX120" s="641"/>
      <c r="AY120" s="641"/>
      <c r="AZ120" s="641"/>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641"/>
      <c r="B121" s="640"/>
      <c r="C121" s="642"/>
      <c r="D121" s="652"/>
      <c r="E121" s="640"/>
      <c r="F121" s="641"/>
      <c r="G121" s="641"/>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1"/>
      <c r="AL121" s="641"/>
      <c r="AM121" s="641"/>
      <c r="AN121" s="641"/>
      <c r="AO121" s="641"/>
      <c r="AP121" s="641"/>
      <c r="AQ121" s="641"/>
      <c r="AR121" s="641"/>
      <c r="AS121" s="641"/>
      <c r="AT121" s="641"/>
      <c r="AU121" s="641"/>
      <c r="AV121" s="641"/>
      <c r="AW121" s="641"/>
      <c r="AX121" s="641"/>
      <c r="AY121" s="641"/>
      <c r="AZ121" s="641"/>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641"/>
      <c r="B122" s="640"/>
      <c r="C122" s="642"/>
      <c r="D122" s="652"/>
      <c r="E122" s="640"/>
      <c r="F122" s="641"/>
      <c r="G122" s="641"/>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1"/>
      <c r="AL122" s="641"/>
      <c r="AM122" s="641"/>
      <c r="AN122" s="641"/>
      <c r="AO122" s="641"/>
      <c r="AP122" s="641"/>
      <c r="AQ122" s="641"/>
      <c r="AR122" s="641"/>
      <c r="AS122" s="641"/>
      <c r="AT122" s="641"/>
      <c r="AU122" s="641"/>
      <c r="AV122" s="641"/>
      <c r="AW122" s="641"/>
      <c r="AX122" s="641"/>
      <c r="AY122" s="641"/>
      <c r="AZ122" s="641"/>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641"/>
      <c r="B123" s="640"/>
      <c r="C123" s="642"/>
      <c r="D123" s="652"/>
      <c r="E123" s="640"/>
      <c r="F123" s="641"/>
      <c r="G123" s="641"/>
      <c r="H123" s="641"/>
      <c r="I123" s="641"/>
      <c r="J123" s="641"/>
      <c r="K123" s="641"/>
      <c r="L123" s="641"/>
      <c r="M123" s="641"/>
      <c r="N123" s="641"/>
      <c r="O123" s="641"/>
      <c r="P123" s="641"/>
      <c r="Q123" s="641"/>
      <c r="R123" s="641"/>
      <c r="S123" s="641"/>
      <c r="T123" s="641"/>
      <c r="U123" s="641"/>
      <c r="V123" s="641"/>
      <c r="W123" s="641"/>
      <c r="X123" s="641"/>
      <c r="Y123" s="641"/>
      <c r="Z123" s="641"/>
      <c r="AA123" s="641"/>
      <c r="AB123" s="641"/>
      <c r="AC123" s="641"/>
      <c r="AD123" s="641"/>
      <c r="AE123" s="641"/>
      <c r="AF123" s="641"/>
      <c r="AG123" s="641"/>
      <c r="AH123" s="641"/>
      <c r="AI123" s="641"/>
      <c r="AJ123" s="641"/>
      <c r="AK123" s="641"/>
      <c r="AL123" s="641"/>
      <c r="AM123" s="641"/>
      <c r="AN123" s="641"/>
      <c r="AO123" s="641"/>
      <c r="AP123" s="641"/>
      <c r="AQ123" s="641"/>
      <c r="AR123" s="641"/>
      <c r="AS123" s="641"/>
      <c r="AT123" s="641"/>
      <c r="AU123" s="641"/>
      <c r="AV123" s="641"/>
      <c r="AW123" s="641"/>
      <c r="AX123" s="641"/>
      <c r="AY123" s="641"/>
      <c r="AZ123" s="641"/>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641"/>
      <c r="B124" s="640"/>
      <c r="C124" s="642"/>
      <c r="D124" s="652"/>
      <c r="E124" s="640"/>
      <c r="F124" s="641"/>
      <c r="G124" s="641"/>
      <c r="H124" s="641"/>
      <c r="I124" s="641"/>
      <c r="J124" s="641"/>
      <c r="K124" s="641"/>
      <c r="L124" s="641"/>
      <c r="M124" s="641"/>
      <c r="N124" s="641"/>
      <c r="O124" s="641"/>
      <c r="P124" s="641"/>
      <c r="Q124" s="641"/>
      <c r="R124" s="641"/>
      <c r="S124" s="641"/>
      <c r="T124" s="641"/>
      <c r="U124" s="641"/>
      <c r="V124" s="641"/>
      <c r="W124" s="641"/>
      <c r="X124" s="641"/>
      <c r="Y124" s="641"/>
      <c r="Z124" s="641"/>
      <c r="AA124" s="641"/>
      <c r="AB124" s="641"/>
      <c r="AC124" s="641"/>
      <c r="AD124" s="641"/>
      <c r="AE124" s="641"/>
      <c r="AF124" s="641"/>
      <c r="AG124" s="641"/>
      <c r="AH124" s="641"/>
      <c r="AI124" s="641"/>
      <c r="AJ124" s="641"/>
      <c r="AK124" s="641"/>
      <c r="AL124" s="641"/>
      <c r="AM124" s="641"/>
      <c r="AN124" s="641"/>
      <c r="AO124" s="641"/>
      <c r="AP124" s="641"/>
      <c r="AQ124" s="641"/>
      <c r="AR124" s="641"/>
      <c r="AS124" s="641"/>
      <c r="AT124" s="641"/>
      <c r="AU124" s="641"/>
      <c r="AV124" s="641"/>
      <c r="AW124" s="641"/>
      <c r="AX124" s="641"/>
      <c r="AY124" s="641"/>
      <c r="AZ124" s="641"/>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641"/>
      <c r="B125" s="640"/>
      <c r="C125" s="642"/>
      <c r="D125" s="652"/>
      <c r="E125" s="640"/>
      <c r="F125" s="641"/>
      <c r="G125" s="641"/>
      <c r="H125" s="641"/>
      <c r="I125" s="641"/>
      <c r="J125" s="641"/>
      <c r="K125" s="641"/>
      <c r="L125" s="641"/>
      <c r="M125" s="641"/>
      <c r="N125" s="641"/>
      <c r="O125" s="641"/>
      <c r="P125" s="641"/>
      <c r="Q125" s="641"/>
      <c r="R125" s="641"/>
      <c r="S125" s="641"/>
      <c r="T125" s="641"/>
      <c r="U125" s="641"/>
      <c r="V125" s="641"/>
      <c r="W125" s="641"/>
      <c r="X125" s="641"/>
      <c r="Y125" s="641"/>
      <c r="Z125" s="641"/>
      <c r="AA125" s="641"/>
      <c r="AB125" s="641"/>
      <c r="AC125" s="641"/>
      <c r="AD125" s="641"/>
      <c r="AE125" s="641"/>
      <c r="AF125" s="641"/>
      <c r="AG125" s="641"/>
      <c r="AH125" s="641"/>
      <c r="AI125" s="641"/>
      <c r="AJ125" s="641"/>
      <c r="AK125" s="641"/>
      <c r="AL125" s="641"/>
      <c r="AM125" s="641"/>
      <c r="AN125" s="641"/>
      <c r="AO125" s="641"/>
      <c r="AP125" s="641"/>
      <c r="AQ125" s="641"/>
      <c r="AR125" s="641"/>
      <c r="AS125" s="641"/>
      <c r="AT125" s="641"/>
      <c r="AU125" s="641"/>
      <c r="AV125" s="641"/>
      <c r="AW125" s="641"/>
      <c r="AX125" s="641"/>
      <c r="AY125" s="641"/>
      <c r="AZ125" s="641"/>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641"/>
      <c r="B126" s="640"/>
      <c r="C126" s="642"/>
      <c r="D126" s="652"/>
      <c r="E126" s="640"/>
      <c r="F126" s="641"/>
      <c r="G126" s="641"/>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1"/>
      <c r="AL126" s="641"/>
      <c r="AM126" s="641"/>
      <c r="AN126" s="641"/>
      <c r="AO126" s="641"/>
      <c r="AP126" s="641"/>
      <c r="AQ126" s="641"/>
      <c r="AR126" s="641"/>
      <c r="AS126" s="641"/>
      <c r="AT126" s="641"/>
      <c r="AU126" s="641"/>
      <c r="AV126" s="641"/>
      <c r="AW126" s="641"/>
      <c r="AX126" s="641"/>
      <c r="AY126" s="641"/>
      <c r="AZ126" s="641"/>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641"/>
      <c r="B127" s="640"/>
      <c r="C127" s="642"/>
      <c r="D127" s="652"/>
      <c r="E127" s="640"/>
      <c r="F127" s="641"/>
      <c r="G127" s="641"/>
      <c r="H127" s="641"/>
      <c r="I127" s="641"/>
      <c r="J127" s="641"/>
      <c r="K127" s="641"/>
      <c r="L127" s="641"/>
      <c r="M127" s="641"/>
      <c r="N127" s="641"/>
      <c r="O127" s="641"/>
      <c r="P127" s="641"/>
      <c r="Q127" s="641"/>
      <c r="R127" s="641"/>
      <c r="S127" s="641"/>
      <c r="T127" s="641"/>
      <c r="U127" s="641"/>
      <c r="V127" s="641"/>
      <c r="W127" s="641"/>
      <c r="X127" s="641"/>
      <c r="Y127" s="641"/>
      <c r="Z127" s="641"/>
      <c r="AA127" s="641"/>
      <c r="AB127" s="641"/>
      <c r="AC127" s="641"/>
      <c r="AD127" s="641"/>
      <c r="AE127" s="641"/>
      <c r="AF127" s="641"/>
      <c r="AG127" s="641"/>
      <c r="AH127" s="641"/>
      <c r="AI127" s="641"/>
      <c r="AJ127" s="641"/>
      <c r="AK127" s="641"/>
      <c r="AL127" s="641"/>
      <c r="AM127" s="641"/>
      <c r="AN127" s="641"/>
      <c r="AO127" s="641"/>
      <c r="AP127" s="641"/>
      <c r="AQ127" s="641"/>
      <c r="AR127" s="641"/>
      <c r="AS127" s="641"/>
      <c r="AT127" s="641"/>
      <c r="AU127" s="641"/>
      <c r="AV127" s="641"/>
      <c r="AW127" s="641"/>
      <c r="AX127" s="641"/>
      <c r="AY127" s="641"/>
      <c r="AZ127" s="641"/>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641"/>
      <c r="B128" s="640"/>
      <c r="C128" s="642"/>
      <c r="D128" s="652"/>
      <c r="E128" s="640"/>
      <c r="F128" s="641"/>
      <c r="G128" s="641"/>
      <c r="H128" s="641"/>
      <c r="I128" s="641"/>
      <c r="J128" s="641"/>
      <c r="K128" s="641"/>
      <c r="L128" s="641"/>
      <c r="M128" s="641"/>
      <c r="N128" s="641"/>
      <c r="O128" s="641"/>
      <c r="P128" s="641"/>
      <c r="Q128" s="641"/>
      <c r="R128" s="641"/>
      <c r="S128" s="641"/>
      <c r="T128" s="641"/>
      <c r="U128" s="641"/>
      <c r="V128" s="641"/>
      <c r="W128" s="641"/>
      <c r="X128" s="641"/>
      <c r="Y128" s="641"/>
      <c r="Z128" s="641"/>
      <c r="AA128" s="641"/>
      <c r="AB128" s="641"/>
      <c r="AC128" s="641"/>
      <c r="AD128" s="641"/>
      <c r="AE128" s="641"/>
      <c r="AF128" s="641"/>
      <c r="AG128" s="641"/>
      <c r="AH128" s="641"/>
      <c r="AI128" s="641"/>
      <c r="AJ128" s="641"/>
      <c r="AK128" s="641"/>
      <c r="AL128" s="641"/>
      <c r="AM128" s="641"/>
      <c r="AN128" s="641"/>
      <c r="AO128" s="641"/>
      <c r="AP128" s="641"/>
      <c r="AQ128" s="641"/>
      <c r="AR128" s="641"/>
      <c r="AS128" s="641"/>
      <c r="AT128" s="641"/>
      <c r="AU128" s="641"/>
      <c r="AV128" s="641"/>
      <c r="AW128" s="641"/>
      <c r="AX128" s="641"/>
      <c r="AY128" s="641"/>
      <c r="AZ128" s="641"/>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641"/>
      <c r="B129" s="640"/>
      <c r="C129" s="642"/>
      <c r="D129" s="652"/>
      <c r="E129" s="640"/>
      <c r="F129" s="641"/>
      <c r="G129" s="641"/>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641"/>
      <c r="AL129" s="641"/>
      <c r="AM129" s="641"/>
      <c r="AN129" s="641"/>
      <c r="AO129" s="641"/>
      <c r="AP129" s="641"/>
      <c r="AQ129" s="641"/>
      <c r="AR129" s="641"/>
      <c r="AS129" s="641"/>
      <c r="AT129" s="641"/>
      <c r="AU129" s="641"/>
      <c r="AV129" s="641"/>
      <c r="AW129" s="641"/>
      <c r="AX129" s="641"/>
      <c r="AY129" s="641"/>
      <c r="AZ129" s="641"/>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641"/>
      <c r="B130" s="640"/>
      <c r="C130" s="642"/>
      <c r="D130" s="652"/>
      <c r="E130" s="640"/>
      <c r="F130" s="641"/>
      <c r="G130" s="641"/>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1"/>
      <c r="AL130" s="641"/>
      <c r="AM130" s="641"/>
      <c r="AN130" s="641"/>
      <c r="AO130" s="641"/>
      <c r="AP130" s="641"/>
      <c r="AQ130" s="641"/>
      <c r="AR130" s="641"/>
      <c r="AS130" s="641"/>
      <c r="AT130" s="641"/>
      <c r="AU130" s="641"/>
      <c r="AV130" s="641"/>
      <c r="AW130" s="641"/>
      <c r="AX130" s="641"/>
      <c r="AY130" s="641"/>
      <c r="AZ130" s="641"/>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641"/>
      <c r="B131" s="640"/>
      <c r="C131" s="642"/>
      <c r="D131" s="652"/>
      <c r="E131" s="640"/>
      <c r="F131" s="641"/>
      <c r="G131" s="641"/>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1"/>
      <c r="AJ131" s="641"/>
      <c r="AK131" s="641"/>
      <c r="AL131" s="641"/>
      <c r="AM131" s="641"/>
      <c r="AN131" s="641"/>
      <c r="AO131" s="641"/>
      <c r="AP131" s="641"/>
      <c r="AQ131" s="641"/>
      <c r="AR131" s="641"/>
      <c r="AS131" s="641"/>
      <c r="AT131" s="641"/>
      <c r="AU131" s="641"/>
      <c r="AV131" s="641"/>
      <c r="AW131" s="641"/>
      <c r="AX131" s="641"/>
      <c r="AY131" s="641"/>
      <c r="AZ131" s="641"/>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641"/>
      <c r="B132" s="640"/>
      <c r="C132" s="642"/>
      <c r="D132" s="652"/>
      <c r="E132" s="640"/>
      <c r="F132" s="641"/>
      <c r="G132" s="641"/>
      <c r="H132" s="641"/>
      <c r="I132" s="641"/>
      <c r="J132" s="641"/>
      <c r="K132" s="641"/>
      <c r="L132" s="641"/>
      <c r="M132" s="641"/>
      <c r="N132" s="641"/>
      <c r="O132" s="641"/>
      <c r="P132" s="641"/>
      <c r="Q132" s="641"/>
      <c r="R132" s="641"/>
      <c r="S132" s="641"/>
      <c r="T132" s="641"/>
      <c r="U132" s="641"/>
      <c r="V132" s="641"/>
      <c r="W132" s="641"/>
      <c r="X132" s="641"/>
      <c r="Y132" s="641"/>
      <c r="Z132" s="641"/>
      <c r="AA132" s="641"/>
      <c r="AB132" s="641"/>
      <c r="AC132" s="641"/>
      <c r="AD132" s="641"/>
      <c r="AE132" s="641"/>
      <c r="AF132" s="641"/>
      <c r="AG132" s="641"/>
      <c r="AH132" s="641"/>
      <c r="AI132" s="641"/>
      <c r="AJ132" s="641"/>
      <c r="AK132" s="641"/>
      <c r="AL132" s="641"/>
      <c r="AM132" s="641"/>
      <c r="AN132" s="641"/>
      <c r="AO132" s="641"/>
      <c r="AP132" s="641"/>
      <c r="AQ132" s="641"/>
      <c r="AR132" s="641"/>
      <c r="AS132" s="641"/>
      <c r="AT132" s="641"/>
      <c r="AU132" s="641"/>
      <c r="AV132" s="641"/>
      <c r="AW132" s="641"/>
      <c r="AX132" s="641"/>
      <c r="AY132" s="641"/>
      <c r="AZ132" s="641"/>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641"/>
      <c r="B133" s="640"/>
      <c r="C133" s="642"/>
      <c r="D133" s="652"/>
      <c r="E133" s="640"/>
      <c r="F133" s="641"/>
      <c r="G133" s="641"/>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1"/>
      <c r="AL133" s="641"/>
      <c r="AM133" s="641"/>
      <c r="AN133" s="641"/>
      <c r="AO133" s="641"/>
      <c r="AP133" s="641"/>
      <c r="AQ133" s="641"/>
      <c r="AR133" s="641"/>
      <c r="AS133" s="641"/>
      <c r="AT133" s="641"/>
      <c r="AU133" s="641"/>
      <c r="AV133" s="641"/>
      <c r="AW133" s="641"/>
      <c r="AX133" s="641"/>
      <c r="AY133" s="641"/>
      <c r="AZ133" s="641"/>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641"/>
      <c r="B134" s="640"/>
      <c r="C134" s="642"/>
      <c r="D134" s="652"/>
      <c r="E134" s="640"/>
      <c r="F134" s="641"/>
      <c r="G134" s="641"/>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1"/>
      <c r="AL134" s="641"/>
      <c r="AM134" s="641"/>
      <c r="AN134" s="641"/>
      <c r="AO134" s="641"/>
      <c r="AP134" s="641"/>
      <c r="AQ134" s="641"/>
      <c r="AR134" s="641"/>
      <c r="AS134" s="641"/>
      <c r="AT134" s="641"/>
      <c r="AU134" s="641"/>
      <c r="AV134" s="641"/>
      <c r="AW134" s="641"/>
      <c r="AX134" s="641"/>
      <c r="AY134" s="641"/>
      <c r="AZ134" s="641"/>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641"/>
      <c r="B135" s="640"/>
      <c r="C135" s="642"/>
      <c r="D135" s="652"/>
      <c r="E135" s="640"/>
      <c r="F135" s="641"/>
      <c r="G135" s="641"/>
      <c r="H135" s="641"/>
      <c r="I135" s="641"/>
      <c r="J135" s="641"/>
      <c r="K135" s="641"/>
      <c r="L135" s="641"/>
      <c r="M135" s="641"/>
      <c r="N135" s="641"/>
      <c r="O135" s="641"/>
      <c r="P135" s="641"/>
      <c r="Q135" s="641"/>
      <c r="R135" s="641"/>
      <c r="S135" s="641"/>
      <c r="T135" s="641"/>
      <c r="U135" s="641"/>
      <c r="V135" s="641"/>
      <c r="W135" s="641"/>
      <c r="X135" s="641"/>
      <c r="Y135" s="641"/>
      <c r="Z135" s="641"/>
      <c r="AA135" s="641"/>
      <c r="AB135" s="641"/>
      <c r="AC135" s="641"/>
      <c r="AD135" s="641"/>
      <c r="AE135" s="641"/>
      <c r="AF135" s="641"/>
      <c r="AG135" s="641"/>
      <c r="AH135" s="641"/>
      <c r="AI135" s="641"/>
      <c r="AJ135" s="641"/>
      <c r="AK135" s="641"/>
      <c r="AL135" s="641"/>
      <c r="AM135" s="641"/>
      <c r="AN135" s="641"/>
      <c r="AO135" s="641"/>
      <c r="AP135" s="641"/>
      <c r="AQ135" s="641"/>
      <c r="AR135" s="641"/>
      <c r="AS135" s="641"/>
      <c r="AT135" s="641"/>
      <c r="AU135" s="641"/>
      <c r="AV135" s="641"/>
      <c r="AW135" s="641"/>
      <c r="AX135" s="641"/>
      <c r="AY135" s="641"/>
      <c r="AZ135" s="641"/>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641"/>
      <c r="B136" s="640"/>
      <c r="C136" s="642"/>
      <c r="D136" s="652"/>
      <c r="E136" s="640"/>
      <c r="F136" s="641"/>
      <c r="G136" s="641"/>
      <c r="H136" s="641"/>
      <c r="I136" s="641"/>
      <c r="J136" s="641"/>
      <c r="K136" s="641"/>
      <c r="L136" s="641"/>
      <c r="M136" s="641"/>
      <c r="N136" s="641"/>
      <c r="O136" s="641"/>
      <c r="P136" s="641"/>
      <c r="Q136" s="641"/>
      <c r="R136" s="641"/>
      <c r="S136" s="641"/>
      <c r="T136" s="641"/>
      <c r="U136" s="641"/>
      <c r="V136" s="641"/>
      <c r="W136" s="641"/>
      <c r="X136" s="641"/>
      <c r="Y136" s="641"/>
      <c r="Z136" s="641"/>
      <c r="AA136" s="641"/>
      <c r="AB136" s="641"/>
      <c r="AC136" s="641"/>
      <c r="AD136" s="641"/>
      <c r="AE136" s="641"/>
      <c r="AF136" s="641"/>
      <c r="AG136" s="641"/>
      <c r="AH136" s="641"/>
      <c r="AI136" s="641"/>
      <c r="AJ136" s="641"/>
      <c r="AK136" s="641"/>
      <c r="AL136" s="641"/>
      <c r="AM136" s="641"/>
      <c r="AN136" s="641"/>
      <c r="AO136" s="641"/>
      <c r="AP136" s="641"/>
      <c r="AQ136" s="641"/>
      <c r="AR136" s="641"/>
      <c r="AS136" s="641"/>
      <c r="AT136" s="641"/>
      <c r="AU136" s="641"/>
      <c r="AV136" s="641"/>
      <c r="AW136" s="641"/>
      <c r="AX136" s="641"/>
      <c r="AY136" s="641"/>
      <c r="AZ136" s="641"/>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641"/>
      <c r="B137" s="640"/>
      <c r="C137" s="642"/>
      <c r="D137" s="652"/>
      <c r="E137" s="640"/>
      <c r="F137" s="641"/>
      <c r="G137" s="641"/>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641"/>
      <c r="AL137" s="641"/>
      <c r="AM137" s="641"/>
      <c r="AN137" s="641"/>
      <c r="AO137" s="641"/>
      <c r="AP137" s="641"/>
      <c r="AQ137" s="641"/>
      <c r="AR137" s="641"/>
      <c r="AS137" s="641"/>
      <c r="AT137" s="641"/>
      <c r="AU137" s="641"/>
      <c r="AV137" s="641"/>
      <c r="AW137" s="641"/>
      <c r="AX137" s="641"/>
      <c r="AY137" s="641"/>
      <c r="AZ137" s="641"/>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641"/>
      <c r="B138" s="640"/>
      <c r="C138" s="642"/>
      <c r="D138" s="652"/>
      <c r="E138" s="640"/>
      <c r="F138" s="641"/>
      <c r="G138" s="641"/>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641"/>
      <c r="AL138" s="641"/>
      <c r="AM138" s="641"/>
      <c r="AN138" s="641"/>
      <c r="AO138" s="641"/>
      <c r="AP138" s="641"/>
      <c r="AQ138" s="641"/>
      <c r="AR138" s="641"/>
      <c r="AS138" s="641"/>
      <c r="AT138" s="641"/>
      <c r="AU138" s="641"/>
      <c r="AV138" s="641"/>
      <c r="AW138" s="641"/>
      <c r="AX138" s="641"/>
      <c r="AY138" s="641"/>
      <c r="AZ138" s="641"/>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641"/>
      <c r="B139" s="640"/>
      <c r="C139" s="642"/>
      <c r="D139" s="652"/>
      <c r="E139" s="640"/>
      <c r="F139" s="641"/>
      <c r="G139" s="641"/>
      <c r="H139" s="641"/>
      <c r="I139" s="641"/>
      <c r="J139" s="641"/>
      <c r="K139" s="641"/>
      <c r="L139" s="641"/>
      <c r="M139" s="641"/>
      <c r="N139" s="641"/>
      <c r="O139" s="641"/>
      <c r="P139" s="641"/>
      <c r="Q139" s="641"/>
      <c r="R139" s="641"/>
      <c r="S139" s="641"/>
      <c r="T139" s="641"/>
      <c r="U139" s="641"/>
      <c r="V139" s="641"/>
      <c r="W139" s="641"/>
      <c r="X139" s="641"/>
      <c r="Y139" s="641"/>
      <c r="Z139" s="641"/>
      <c r="AA139" s="641"/>
      <c r="AB139" s="641"/>
      <c r="AC139" s="641"/>
      <c r="AD139" s="641"/>
      <c r="AE139" s="641"/>
      <c r="AF139" s="641"/>
      <c r="AG139" s="641"/>
      <c r="AH139" s="641"/>
      <c r="AI139" s="641"/>
      <c r="AJ139" s="641"/>
      <c r="AK139" s="641"/>
      <c r="AL139" s="641"/>
      <c r="AM139" s="641"/>
      <c r="AN139" s="641"/>
      <c r="AO139" s="641"/>
      <c r="AP139" s="641"/>
      <c r="AQ139" s="641"/>
      <c r="AR139" s="641"/>
      <c r="AS139" s="641"/>
      <c r="AT139" s="641"/>
      <c r="AU139" s="641"/>
      <c r="AV139" s="641"/>
      <c r="AW139" s="641"/>
      <c r="AX139" s="641"/>
      <c r="AY139" s="641"/>
      <c r="AZ139" s="641"/>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641"/>
      <c r="B140" s="640"/>
      <c r="C140" s="642"/>
      <c r="D140" s="652"/>
      <c r="E140" s="640"/>
      <c r="F140" s="641"/>
      <c r="G140" s="641"/>
      <c r="H140" s="641"/>
      <c r="I140" s="641"/>
      <c r="J140" s="641"/>
      <c r="K140" s="641"/>
      <c r="L140" s="641"/>
      <c r="M140" s="641"/>
      <c r="N140" s="641"/>
      <c r="O140" s="641"/>
      <c r="P140" s="641"/>
      <c r="Q140" s="641"/>
      <c r="R140" s="641"/>
      <c r="S140" s="641"/>
      <c r="T140" s="641"/>
      <c r="U140" s="641"/>
      <c r="V140" s="641"/>
      <c r="W140" s="641"/>
      <c r="X140" s="641"/>
      <c r="Y140" s="641"/>
      <c r="Z140" s="641"/>
      <c r="AA140" s="641"/>
      <c r="AB140" s="641"/>
      <c r="AC140" s="641"/>
      <c r="AD140" s="641"/>
      <c r="AE140" s="641"/>
      <c r="AF140" s="641"/>
      <c r="AG140" s="641"/>
      <c r="AH140" s="641"/>
      <c r="AI140" s="641"/>
      <c r="AJ140" s="641"/>
      <c r="AK140" s="641"/>
      <c r="AL140" s="641"/>
      <c r="AM140" s="641"/>
      <c r="AN140" s="641"/>
      <c r="AO140" s="641"/>
      <c r="AP140" s="641"/>
      <c r="AQ140" s="641"/>
      <c r="AR140" s="641"/>
      <c r="AS140" s="641"/>
      <c r="AT140" s="641"/>
      <c r="AU140" s="641"/>
      <c r="AV140" s="641"/>
      <c r="AW140" s="641"/>
      <c r="AX140" s="641"/>
      <c r="AY140" s="641"/>
      <c r="AZ140" s="641"/>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641"/>
      <c r="B141" s="640"/>
      <c r="C141" s="642"/>
      <c r="D141" s="652"/>
      <c r="E141" s="640"/>
      <c r="F141" s="641"/>
      <c r="G141" s="641"/>
      <c r="H141" s="641"/>
      <c r="I141" s="641"/>
      <c r="J141" s="641"/>
      <c r="K141" s="641"/>
      <c r="L141" s="641"/>
      <c r="M141" s="641"/>
      <c r="N141" s="641"/>
      <c r="O141" s="641"/>
      <c r="P141" s="641"/>
      <c r="Q141" s="641"/>
      <c r="R141" s="641"/>
      <c r="S141" s="641"/>
      <c r="T141" s="641"/>
      <c r="U141" s="641"/>
      <c r="V141" s="641"/>
      <c r="W141" s="641"/>
      <c r="X141" s="641"/>
      <c r="Y141" s="641"/>
      <c r="Z141" s="641"/>
      <c r="AA141" s="641"/>
      <c r="AB141" s="641"/>
      <c r="AC141" s="641"/>
      <c r="AD141" s="641"/>
      <c r="AE141" s="641"/>
      <c r="AF141" s="641"/>
      <c r="AG141" s="641"/>
      <c r="AH141" s="641"/>
      <c r="AI141" s="641"/>
      <c r="AJ141" s="641"/>
      <c r="AK141" s="641"/>
      <c r="AL141" s="641"/>
      <c r="AM141" s="641"/>
      <c r="AN141" s="641"/>
      <c r="AO141" s="641"/>
      <c r="AP141" s="641"/>
      <c r="AQ141" s="641"/>
      <c r="AR141" s="641"/>
      <c r="AS141" s="641"/>
      <c r="AT141" s="641"/>
      <c r="AU141" s="641"/>
      <c r="AV141" s="641"/>
      <c r="AW141" s="641"/>
      <c r="AX141" s="641"/>
      <c r="AY141" s="641"/>
      <c r="AZ141" s="641"/>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641"/>
      <c r="B142" s="640"/>
      <c r="C142" s="642"/>
      <c r="D142" s="652"/>
      <c r="E142" s="640"/>
      <c r="F142" s="641"/>
      <c r="G142" s="641"/>
      <c r="H142" s="641"/>
      <c r="I142" s="641"/>
      <c r="J142" s="641"/>
      <c r="K142" s="641"/>
      <c r="L142" s="641"/>
      <c r="M142" s="641"/>
      <c r="N142" s="641"/>
      <c r="O142" s="641"/>
      <c r="P142" s="641"/>
      <c r="Q142" s="641"/>
      <c r="R142" s="641"/>
      <c r="S142" s="641"/>
      <c r="T142" s="641"/>
      <c r="U142" s="641"/>
      <c r="V142" s="641"/>
      <c r="W142" s="641"/>
      <c r="X142" s="641"/>
      <c r="Y142" s="641"/>
      <c r="Z142" s="641"/>
      <c r="AA142" s="641"/>
      <c r="AB142" s="641"/>
      <c r="AC142" s="641"/>
      <c r="AD142" s="641"/>
      <c r="AE142" s="641"/>
      <c r="AF142" s="641"/>
      <c r="AG142" s="641"/>
      <c r="AH142" s="641"/>
      <c r="AI142" s="641"/>
      <c r="AJ142" s="641"/>
      <c r="AK142" s="641"/>
      <c r="AL142" s="641"/>
      <c r="AM142" s="641"/>
      <c r="AN142" s="641"/>
      <c r="AO142" s="641"/>
      <c r="AP142" s="641"/>
      <c r="AQ142" s="641"/>
      <c r="AR142" s="641"/>
      <c r="AS142" s="641"/>
      <c r="AT142" s="641"/>
      <c r="AU142" s="641"/>
      <c r="AV142" s="641"/>
      <c r="AW142" s="641"/>
      <c r="AX142" s="641"/>
      <c r="AY142" s="641"/>
      <c r="AZ142" s="641"/>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641"/>
      <c r="B143" s="640"/>
      <c r="C143" s="642"/>
      <c r="D143" s="652"/>
      <c r="E143" s="640"/>
      <c r="F143" s="641"/>
      <c r="G143" s="641"/>
      <c r="H143" s="641"/>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c r="AJ143" s="641"/>
      <c r="AK143" s="641"/>
      <c r="AL143" s="641"/>
      <c r="AM143" s="641"/>
      <c r="AN143" s="641"/>
      <c r="AO143" s="641"/>
      <c r="AP143" s="641"/>
      <c r="AQ143" s="641"/>
      <c r="AR143" s="641"/>
      <c r="AS143" s="641"/>
      <c r="AT143" s="641"/>
      <c r="AU143" s="641"/>
      <c r="AV143" s="641"/>
      <c r="AW143" s="641"/>
      <c r="AX143" s="641"/>
      <c r="AY143" s="641"/>
      <c r="AZ143" s="641"/>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641"/>
      <c r="B144" s="640"/>
      <c r="C144" s="642"/>
      <c r="D144" s="652"/>
      <c r="E144" s="640"/>
      <c r="F144" s="641"/>
      <c r="G144" s="641"/>
      <c r="H144" s="641"/>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c r="AJ144" s="641"/>
      <c r="AK144" s="641"/>
      <c r="AL144" s="641"/>
      <c r="AM144" s="641"/>
      <c r="AN144" s="641"/>
      <c r="AO144" s="641"/>
      <c r="AP144" s="641"/>
      <c r="AQ144" s="641"/>
      <c r="AR144" s="641"/>
      <c r="AS144" s="641"/>
      <c r="AT144" s="641"/>
      <c r="AU144" s="641"/>
      <c r="AV144" s="641"/>
      <c r="AW144" s="641"/>
      <c r="AX144" s="641"/>
      <c r="AY144" s="641"/>
      <c r="AZ144" s="641"/>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641"/>
      <c r="B145" s="640"/>
      <c r="C145" s="642"/>
      <c r="D145" s="652"/>
      <c r="E145" s="640"/>
      <c r="F145" s="641"/>
      <c r="G145" s="641"/>
      <c r="H145" s="641"/>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c r="AJ145" s="641"/>
      <c r="AK145" s="641"/>
      <c r="AL145" s="641"/>
      <c r="AM145" s="641"/>
      <c r="AN145" s="641"/>
      <c r="AO145" s="641"/>
      <c r="AP145" s="641"/>
      <c r="AQ145" s="641"/>
      <c r="AR145" s="641"/>
      <c r="AS145" s="641"/>
      <c r="AT145" s="641"/>
      <c r="AU145" s="641"/>
      <c r="AV145" s="641"/>
      <c r="AW145" s="641"/>
      <c r="AX145" s="641"/>
      <c r="AY145" s="641"/>
      <c r="AZ145" s="641"/>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641"/>
      <c r="B146" s="640"/>
      <c r="C146" s="642"/>
      <c r="D146" s="652"/>
      <c r="E146" s="640"/>
      <c r="F146" s="641"/>
      <c r="G146" s="641"/>
      <c r="H146" s="641"/>
      <c r="I146" s="641"/>
      <c r="J146" s="641"/>
      <c r="K146" s="641"/>
      <c r="L146" s="641"/>
      <c r="M146" s="641"/>
      <c r="N146" s="641"/>
      <c r="O146" s="641"/>
      <c r="P146" s="641"/>
      <c r="Q146" s="641"/>
      <c r="R146" s="641"/>
      <c r="S146" s="641"/>
      <c r="T146" s="641"/>
      <c r="U146" s="641"/>
      <c r="V146" s="641"/>
      <c r="W146" s="641"/>
      <c r="X146" s="641"/>
      <c r="Y146" s="641"/>
      <c r="Z146" s="641"/>
      <c r="AA146" s="641"/>
      <c r="AB146" s="641"/>
      <c r="AC146" s="641"/>
      <c r="AD146" s="641"/>
      <c r="AE146" s="641"/>
      <c r="AF146" s="641"/>
      <c r="AG146" s="641"/>
      <c r="AH146" s="641"/>
      <c r="AI146" s="641"/>
      <c r="AJ146" s="641"/>
      <c r="AK146" s="641"/>
      <c r="AL146" s="641"/>
      <c r="AM146" s="641"/>
      <c r="AN146" s="641"/>
      <c r="AO146" s="641"/>
      <c r="AP146" s="641"/>
      <c r="AQ146" s="641"/>
      <c r="AR146" s="641"/>
      <c r="AS146" s="641"/>
      <c r="AT146" s="641"/>
      <c r="AU146" s="641"/>
      <c r="AV146" s="641"/>
      <c r="AW146" s="641"/>
      <c r="AX146" s="641"/>
      <c r="AY146" s="641"/>
      <c r="AZ146" s="641"/>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641"/>
      <c r="B147" s="640"/>
      <c r="C147" s="642"/>
      <c r="D147" s="652"/>
      <c r="E147" s="640"/>
      <c r="F147" s="641"/>
      <c r="G147" s="641"/>
      <c r="H147" s="641"/>
      <c r="I147" s="641"/>
      <c r="J147" s="641"/>
      <c r="K147" s="641"/>
      <c r="L147" s="641"/>
      <c r="M147" s="641"/>
      <c r="N147" s="641"/>
      <c r="O147" s="641"/>
      <c r="P147" s="641"/>
      <c r="Q147" s="641"/>
      <c r="R147" s="641"/>
      <c r="S147" s="641"/>
      <c r="T147" s="641"/>
      <c r="U147" s="641"/>
      <c r="V147" s="641"/>
      <c r="W147" s="641"/>
      <c r="X147" s="641"/>
      <c r="Y147" s="641"/>
      <c r="Z147" s="641"/>
      <c r="AA147" s="641"/>
      <c r="AB147" s="641"/>
      <c r="AC147" s="641"/>
      <c r="AD147" s="641"/>
      <c r="AE147" s="641"/>
      <c r="AF147" s="641"/>
      <c r="AG147" s="641"/>
      <c r="AH147" s="641"/>
      <c r="AI147" s="641"/>
      <c r="AJ147" s="641"/>
      <c r="AK147" s="641"/>
      <c r="AL147" s="641"/>
      <c r="AM147" s="641"/>
      <c r="AN147" s="641"/>
      <c r="AO147" s="641"/>
      <c r="AP147" s="641"/>
      <c r="AQ147" s="641"/>
      <c r="AR147" s="641"/>
      <c r="AS147" s="641"/>
      <c r="AT147" s="641"/>
      <c r="AU147" s="641"/>
      <c r="AV147" s="641"/>
      <c r="AW147" s="641"/>
      <c r="AX147" s="641"/>
      <c r="AY147" s="641"/>
      <c r="AZ147" s="641"/>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641"/>
      <c r="B148" s="640"/>
      <c r="C148" s="642"/>
      <c r="D148" s="652"/>
      <c r="E148" s="640"/>
      <c r="F148" s="641"/>
      <c r="G148" s="641"/>
      <c r="H148" s="641"/>
      <c r="I148" s="641"/>
      <c r="J148" s="641"/>
      <c r="K148" s="641"/>
      <c r="L148" s="641"/>
      <c r="M148" s="641"/>
      <c r="N148" s="641"/>
      <c r="O148" s="641"/>
      <c r="P148" s="641"/>
      <c r="Q148" s="641"/>
      <c r="R148" s="641"/>
      <c r="S148" s="641"/>
      <c r="T148" s="641"/>
      <c r="U148" s="641"/>
      <c r="V148" s="641"/>
      <c r="W148" s="641"/>
      <c r="X148" s="641"/>
      <c r="Y148" s="641"/>
      <c r="Z148" s="641"/>
      <c r="AA148" s="641"/>
      <c r="AB148" s="641"/>
      <c r="AC148" s="641"/>
      <c r="AD148" s="641"/>
      <c r="AE148" s="641"/>
      <c r="AF148" s="641"/>
      <c r="AG148" s="641"/>
      <c r="AH148" s="641"/>
      <c r="AI148" s="641"/>
      <c r="AJ148" s="641"/>
      <c r="AK148" s="641"/>
      <c r="AL148" s="641"/>
      <c r="AM148" s="641"/>
      <c r="AN148" s="641"/>
      <c r="AO148" s="641"/>
      <c r="AP148" s="641"/>
      <c r="AQ148" s="641"/>
      <c r="AR148" s="641"/>
      <c r="AS148" s="641"/>
      <c r="AT148" s="641"/>
      <c r="AU148" s="641"/>
      <c r="AV148" s="641"/>
      <c r="AW148" s="641"/>
      <c r="AX148" s="641"/>
      <c r="AY148" s="641"/>
      <c r="AZ148" s="641"/>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641"/>
      <c r="B149" s="640"/>
      <c r="C149" s="642"/>
      <c r="D149" s="652"/>
      <c r="E149" s="640"/>
      <c r="F149" s="641"/>
      <c r="G149" s="641"/>
      <c r="H149" s="641"/>
      <c r="I149" s="641"/>
      <c r="J149" s="641"/>
      <c r="K149" s="641"/>
      <c r="L149" s="641"/>
      <c r="M149" s="641"/>
      <c r="N149" s="641"/>
      <c r="O149" s="641"/>
      <c r="P149" s="641"/>
      <c r="Q149" s="641"/>
      <c r="R149" s="641"/>
      <c r="S149" s="641"/>
      <c r="T149" s="641"/>
      <c r="U149" s="641"/>
      <c r="V149" s="641"/>
      <c r="W149" s="641"/>
      <c r="X149" s="641"/>
      <c r="Y149" s="641"/>
      <c r="Z149" s="641"/>
      <c r="AA149" s="641"/>
      <c r="AB149" s="641"/>
      <c r="AC149" s="641"/>
      <c r="AD149" s="641"/>
      <c r="AE149" s="641"/>
      <c r="AF149" s="641"/>
      <c r="AG149" s="641"/>
      <c r="AH149" s="641"/>
      <c r="AI149" s="641"/>
      <c r="AJ149" s="641"/>
      <c r="AK149" s="641"/>
      <c r="AL149" s="641"/>
      <c r="AM149" s="641"/>
      <c r="AN149" s="641"/>
      <c r="AO149" s="641"/>
      <c r="AP149" s="641"/>
      <c r="AQ149" s="641"/>
      <c r="AR149" s="641"/>
      <c r="AS149" s="641"/>
      <c r="AT149" s="641"/>
      <c r="AU149" s="641"/>
      <c r="AV149" s="641"/>
      <c r="AW149" s="641"/>
      <c r="AX149" s="641"/>
      <c r="AY149" s="641"/>
      <c r="AZ149" s="641"/>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641"/>
      <c r="B150" s="640"/>
      <c r="C150" s="642"/>
      <c r="D150" s="652"/>
      <c r="E150" s="640"/>
      <c r="F150" s="641"/>
      <c r="G150" s="641"/>
      <c r="H150" s="641"/>
      <c r="I150" s="641"/>
      <c r="J150" s="641"/>
      <c r="K150" s="641"/>
      <c r="L150" s="641"/>
      <c r="M150" s="641"/>
      <c r="N150" s="641"/>
      <c r="O150" s="641"/>
      <c r="P150" s="641"/>
      <c r="Q150" s="641"/>
      <c r="R150" s="641"/>
      <c r="S150" s="641"/>
      <c r="T150" s="641"/>
      <c r="U150" s="641"/>
      <c r="V150" s="641"/>
      <c r="W150" s="641"/>
      <c r="X150" s="641"/>
      <c r="Y150" s="641"/>
      <c r="Z150" s="641"/>
      <c r="AA150" s="641"/>
      <c r="AB150" s="641"/>
      <c r="AC150" s="641"/>
      <c r="AD150" s="641"/>
      <c r="AE150" s="641"/>
      <c r="AF150" s="641"/>
      <c r="AG150" s="641"/>
      <c r="AH150" s="641"/>
      <c r="AI150" s="641"/>
      <c r="AJ150" s="641"/>
      <c r="AK150" s="641"/>
      <c r="AL150" s="641"/>
      <c r="AM150" s="641"/>
      <c r="AN150" s="641"/>
      <c r="AO150" s="641"/>
      <c r="AP150" s="641"/>
      <c r="AQ150" s="641"/>
      <c r="AR150" s="641"/>
      <c r="AS150" s="641"/>
      <c r="AT150" s="641"/>
      <c r="AU150" s="641"/>
      <c r="AV150" s="641"/>
      <c r="AW150" s="641"/>
      <c r="AX150" s="641"/>
      <c r="AY150" s="641"/>
      <c r="AZ150" s="641"/>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641"/>
      <c r="B151" s="640"/>
      <c r="C151" s="642"/>
      <c r="D151" s="652"/>
      <c r="E151" s="640"/>
      <c r="F151" s="641"/>
      <c r="G151" s="641"/>
      <c r="H151" s="641"/>
      <c r="I151" s="641"/>
      <c r="J151" s="641"/>
      <c r="K151" s="641"/>
      <c r="L151" s="641"/>
      <c r="M151" s="641"/>
      <c r="N151" s="641"/>
      <c r="O151" s="641"/>
      <c r="P151" s="641"/>
      <c r="Q151" s="641"/>
      <c r="R151" s="641"/>
      <c r="S151" s="641"/>
      <c r="T151" s="641"/>
      <c r="U151" s="641"/>
      <c r="V151" s="641"/>
      <c r="W151" s="641"/>
      <c r="X151" s="641"/>
      <c r="Y151" s="641"/>
      <c r="Z151" s="641"/>
      <c r="AA151" s="641"/>
      <c r="AB151" s="641"/>
      <c r="AC151" s="641"/>
      <c r="AD151" s="641"/>
      <c r="AE151" s="641"/>
      <c r="AF151" s="641"/>
      <c r="AG151" s="641"/>
      <c r="AH151" s="641"/>
      <c r="AI151" s="641"/>
      <c r="AJ151" s="641"/>
      <c r="AK151" s="641"/>
      <c r="AL151" s="641"/>
      <c r="AM151" s="641"/>
      <c r="AN151" s="641"/>
      <c r="AO151" s="641"/>
      <c r="AP151" s="641"/>
      <c r="AQ151" s="641"/>
      <c r="AR151" s="641"/>
      <c r="AS151" s="641"/>
      <c r="AT151" s="641"/>
      <c r="AU151" s="641"/>
      <c r="AV151" s="641"/>
      <c r="AW151" s="641"/>
      <c r="AX151" s="641"/>
      <c r="AY151" s="641"/>
      <c r="AZ151" s="641"/>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selectLockedCells="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U40" sqref="U40"/>
    </sheetView>
  </sheetViews>
  <sheetFormatPr baseColWidth="10" defaultRowHeight="12.75" x14ac:dyDescent="0.2"/>
  <sheetData>
    <row r="1" spans="1:24" x14ac:dyDescent="0.2">
      <c r="A1" s="151"/>
      <c r="B1" s="151"/>
      <c r="C1" s="151"/>
      <c r="D1" s="151"/>
      <c r="E1" s="151"/>
      <c r="F1" s="151"/>
      <c r="G1" s="151"/>
      <c r="H1" s="151"/>
      <c r="I1" s="151"/>
      <c r="J1" s="151"/>
      <c r="K1" s="151"/>
      <c r="L1" s="151"/>
      <c r="M1" s="151"/>
      <c r="N1" s="151"/>
      <c r="O1" s="151"/>
      <c r="P1" s="151"/>
      <c r="Q1" s="151"/>
      <c r="R1" s="151"/>
      <c r="S1" s="151"/>
      <c r="T1" s="151"/>
      <c r="U1" s="151"/>
      <c r="V1" s="151"/>
      <c r="W1" s="151"/>
      <c r="X1" s="151"/>
    </row>
    <row r="2" spans="1:24" x14ac:dyDescent="0.2">
      <c r="A2" s="151"/>
      <c r="B2" s="151"/>
      <c r="C2" s="151"/>
      <c r="D2" s="151"/>
      <c r="E2" s="151"/>
      <c r="F2" s="151"/>
      <c r="G2" s="151"/>
      <c r="H2" s="151"/>
      <c r="I2" s="151"/>
      <c r="J2" s="151"/>
      <c r="K2" s="151"/>
      <c r="L2" s="151"/>
      <c r="M2" s="151"/>
      <c r="N2" s="151"/>
      <c r="O2" s="151"/>
      <c r="P2" s="151"/>
      <c r="Q2" s="151"/>
      <c r="R2" s="151"/>
      <c r="S2" s="151"/>
      <c r="T2" s="151"/>
      <c r="U2" s="151"/>
      <c r="V2" s="151"/>
      <c r="W2" s="151"/>
      <c r="X2" s="151"/>
    </row>
    <row r="3" spans="1:24" x14ac:dyDescent="0.2">
      <c r="A3" s="151"/>
      <c r="B3" s="151"/>
      <c r="C3" s="151"/>
      <c r="D3" s="151"/>
      <c r="E3" s="151"/>
      <c r="F3" s="151"/>
      <c r="G3" s="151"/>
      <c r="H3" s="151"/>
      <c r="I3" s="151"/>
      <c r="J3" s="151"/>
      <c r="K3" s="151"/>
      <c r="L3" s="151"/>
      <c r="M3" s="151"/>
      <c r="N3" s="151"/>
      <c r="O3" s="151"/>
      <c r="P3" s="151"/>
      <c r="Q3" s="151"/>
      <c r="R3" s="151"/>
      <c r="S3" s="151"/>
      <c r="T3" s="151"/>
      <c r="U3" s="151"/>
      <c r="V3" s="151"/>
      <c r="W3" s="151"/>
      <c r="X3" s="151"/>
    </row>
    <row r="4" spans="1:24" x14ac:dyDescent="0.2">
      <c r="A4" s="151"/>
      <c r="B4" s="151"/>
      <c r="C4" s="151"/>
      <c r="D4" s="151"/>
      <c r="E4" s="151"/>
      <c r="F4" s="151"/>
      <c r="G4" s="151"/>
      <c r="H4" s="151"/>
      <c r="I4" s="151"/>
      <c r="J4" s="151"/>
      <c r="K4" s="151"/>
      <c r="L4" s="151"/>
      <c r="M4" s="151"/>
      <c r="N4" s="151"/>
      <c r="O4" s="151"/>
      <c r="P4" s="151"/>
      <c r="Q4" s="151"/>
      <c r="R4" s="151"/>
      <c r="S4" s="151"/>
      <c r="T4" s="151"/>
      <c r="U4" s="151"/>
      <c r="V4" s="151"/>
      <c r="W4" s="151"/>
      <c r="X4" s="151"/>
    </row>
    <row r="5" spans="1:24" x14ac:dyDescent="0.2">
      <c r="A5" s="151"/>
      <c r="B5" s="151"/>
      <c r="C5" s="151"/>
      <c r="D5" s="151"/>
      <c r="E5" s="151"/>
      <c r="F5" s="151"/>
      <c r="G5" s="151"/>
      <c r="H5" s="151"/>
      <c r="I5" s="151"/>
      <c r="J5" s="151"/>
      <c r="K5" s="151"/>
      <c r="L5" s="151"/>
      <c r="M5" s="151"/>
      <c r="N5" s="151"/>
      <c r="O5" s="151"/>
      <c r="P5" s="151"/>
      <c r="Q5" s="151"/>
      <c r="R5" s="151"/>
      <c r="S5" s="151"/>
      <c r="T5" s="151"/>
      <c r="U5" s="151"/>
      <c r="V5" s="151"/>
      <c r="W5" s="151"/>
      <c r="X5" s="151"/>
    </row>
    <row r="6" spans="1:24" x14ac:dyDescent="0.2">
      <c r="A6" s="151"/>
      <c r="B6" s="151"/>
      <c r="C6" s="151"/>
      <c r="D6" s="151"/>
      <c r="E6" s="151"/>
      <c r="F6" s="151"/>
      <c r="G6" s="151"/>
      <c r="H6" s="151"/>
      <c r="I6" s="151"/>
      <c r="J6" s="151"/>
      <c r="K6" s="151"/>
      <c r="L6" s="151"/>
      <c r="M6" s="151"/>
      <c r="N6" s="151"/>
      <c r="O6" s="151"/>
      <c r="P6" s="151"/>
      <c r="Q6" s="151"/>
      <c r="R6" s="151"/>
      <c r="S6" s="151"/>
      <c r="T6" s="151"/>
      <c r="U6" s="151"/>
      <c r="V6" s="151"/>
      <c r="W6" s="151"/>
      <c r="X6" s="151"/>
    </row>
    <row r="7" spans="1:24" x14ac:dyDescent="0.2">
      <c r="A7" s="151"/>
      <c r="B7" s="151"/>
      <c r="C7" s="151"/>
      <c r="D7" s="151"/>
      <c r="E7" s="151"/>
      <c r="F7" s="151"/>
      <c r="G7" s="151"/>
      <c r="H7" s="151"/>
      <c r="I7" s="151"/>
      <c r="J7" s="151"/>
      <c r="K7" s="151"/>
      <c r="L7" s="151"/>
      <c r="M7" s="151"/>
      <c r="N7" s="151"/>
      <c r="O7" s="151"/>
      <c r="P7" s="151"/>
      <c r="Q7" s="151"/>
      <c r="R7" s="151"/>
      <c r="S7" s="151"/>
      <c r="T7" s="151"/>
      <c r="U7" s="151"/>
      <c r="V7" s="151"/>
      <c r="W7" s="151"/>
      <c r="X7" s="151"/>
    </row>
    <row r="8" spans="1:24" x14ac:dyDescent="0.2">
      <c r="A8" s="151"/>
      <c r="B8" s="151"/>
      <c r="C8" s="151"/>
      <c r="D8" s="151"/>
      <c r="E8" s="151"/>
      <c r="F8" s="151"/>
      <c r="G8" s="151"/>
      <c r="H8" s="151"/>
      <c r="I8" s="151"/>
      <c r="J8" s="151"/>
      <c r="K8" s="151"/>
      <c r="L8" s="151"/>
      <c r="M8" s="151"/>
      <c r="N8" s="151"/>
      <c r="O8" s="151"/>
      <c r="P8" s="151"/>
      <c r="Q8" s="151"/>
      <c r="R8" s="151"/>
      <c r="S8" s="151"/>
      <c r="T8" s="151"/>
      <c r="U8" s="151"/>
      <c r="V8" s="151"/>
      <c r="W8" s="151"/>
      <c r="X8" s="151"/>
    </row>
    <row r="9" spans="1:24" x14ac:dyDescent="0.2">
      <c r="A9" s="151"/>
      <c r="B9" s="151"/>
      <c r="C9" s="151"/>
      <c r="D9" s="151"/>
      <c r="E9" s="151"/>
      <c r="F9" s="151"/>
      <c r="G9" s="151"/>
      <c r="H9" s="151"/>
      <c r="I9" s="151"/>
      <c r="J9" s="151"/>
      <c r="K9" s="151"/>
      <c r="L9" s="151"/>
      <c r="M9" s="151"/>
      <c r="N9" s="151"/>
      <c r="O9" s="151"/>
      <c r="P9" s="151"/>
      <c r="Q9" s="151"/>
      <c r="R9" s="151"/>
      <c r="S9" s="151"/>
      <c r="T9" s="151"/>
      <c r="U9" s="151"/>
      <c r="V9" s="151"/>
      <c r="W9" s="151"/>
      <c r="X9" s="151"/>
    </row>
    <row r="10" spans="1:24" x14ac:dyDescent="0.2">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row>
    <row r="11" spans="1:24" x14ac:dyDescent="0.2">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row>
    <row r="12" spans="1:24" x14ac:dyDescent="0.2">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row>
    <row r="13" spans="1:24" x14ac:dyDescent="0.2">
      <c r="A13" s="151"/>
      <c r="B13" s="151"/>
      <c r="C13" s="151"/>
      <c r="D13" s="151"/>
      <c r="E13" s="151"/>
      <c r="F13" s="151"/>
      <c r="G13" s="151"/>
      <c r="H13" s="151"/>
      <c r="I13" s="151"/>
      <c r="J13" s="151"/>
      <c r="K13" s="151"/>
      <c r="L13" s="151"/>
      <c r="M13" s="151"/>
      <c r="N13" s="151"/>
      <c r="O13" s="151"/>
      <c r="P13" s="151"/>
      <c r="Q13" s="151"/>
      <c r="R13" s="151"/>
      <c r="S13" s="151"/>
      <c r="T13" s="151"/>
      <c r="U13" s="151"/>
      <c r="V13" s="151"/>
      <c r="W13" s="151"/>
      <c r="X13" s="151"/>
    </row>
    <row r="14" spans="1:24" x14ac:dyDescent="0.2">
      <c r="A14" s="151"/>
      <c r="B14" s="151"/>
      <c r="C14" s="151"/>
      <c r="D14" s="151"/>
      <c r="E14" s="151"/>
      <c r="F14" s="151"/>
      <c r="G14" s="151"/>
      <c r="H14" s="151"/>
      <c r="I14" s="151"/>
      <c r="J14" s="151"/>
      <c r="K14" s="151"/>
      <c r="L14" s="151"/>
      <c r="M14" s="151"/>
      <c r="N14" s="151"/>
      <c r="O14" s="151"/>
      <c r="P14" s="151"/>
      <c r="Q14" s="151"/>
      <c r="R14" s="151"/>
      <c r="S14" s="151"/>
      <c r="T14" s="151"/>
      <c r="U14" s="151"/>
      <c r="V14" s="151"/>
      <c r="W14" s="151"/>
      <c r="X14" s="151"/>
    </row>
    <row r="15" spans="1:24" x14ac:dyDescent="0.2">
      <c r="A15" s="151"/>
      <c r="B15" s="151"/>
      <c r="C15" s="151"/>
      <c r="D15" s="151"/>
      <c r="E15" s="151"/>
      <c r="F15" s="151"/>
      <c r="G15" s="151"/>
      <c r="H15" s="151"/>
      <c r="I15" s="151"/>
      <c r="J15" s="151"/>
      <c r="K15" s="151"/>
      <c r="L15" s="151"/>
      <c r="M15" s="151"/>
      <c r="N15" s="151"/>
      <c r="O15" s="151"/>
      <c r="P15" s="151"/>
      <c r="Q15" s="151"/>
      <c r="R15" s="151"/>
      <c r="S15" s="151"/>
      <c r="T15" s="151"/>
      <c r="U15" s="151"/>
      <c r="V15" s="151"/>
      <c r="W15" s="151"/>
      <c r="X15" s="151"/>
    </row>
    <row r="16" spans="1:24" x14ac:dyDescent="0.2">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row>
    <row r="17" spans="1:24" x14ac:dyDescent="0.2">
      <c r="A17" s="151"/>
      <c r="B17" s="151"/>
      <c r="C17" s="151"/>
      <c r="D17" s="151"/>
      <c r="E17" s="151"/>
      <c r="F17" s="151"/>
      <c r="G17" s="151"/>
      <c r="H17" s="151"/>
      <c r="I17" s="151"/>
      <c r="J17" s="151"/>
      <c r="K17" s="151"/>
      <c r="L17" s="151"/>
      <c r="M17" s="151"/>
      <c r="N17" s="151"/>
      <c r="O17" s="151"/>
      <c r="P17" s="151"/>
      <c r="Q17" s="151"/>
      <c r="R17" s="151"/>
      <c r="S17" s="151"/>
      <c r="T17" s="151"/>
      <c r="U17" s="151"/>
      <c r="V17" s="151"/>
      <c r="W17" s="151"/>
      <c r="X17" s="151"/>
    </row>
    <row r="18" spans="1:24" x14ac:dyDescent="0.2">
      <c r="A18" s="151"/>
      <c r="B18" s="151"/>
      <c r="C18" s="151"/>
      <c r="D18" s="151"/>
      <c r="E18" s="151"/>
      <c r="F18" s="151"/>
      <c r="G18" s="151"/>
      <c r="H18" s="151"/>
      <c r="I18" s="151"/>
      <c r="J18" s="151"/>
      <c r="K18" s="151"/>
      <c r="L18" s="151"/>
      <c r="M18" s="151"/>
      <c r="N18" s="151"/>
      <c r="O18" s="151"/>
      <c r="P18" s="151"/>
      <c r="Q18" s="151"/>
      <c r="R18" s="151"/>
      <c r="S18" s="151"/>
      <c r="T18" s="151"/>
      <c r="U18" s="151"/>
      <c r="V18" s="151"/>
      <c r="W18" s="151"/>
      <c r="X18" s="151"/>
    </row>
    <row r="19" spans="1:24" x14ac:dyDescent="0.2">
      <c r="A19" s="151"/>
      <c r="B19" s="151"/>
      <c r="C19" s="151"/>
      <c r="D19" s="151"/>
      <c r="E19" s="151"/>
      <c r="F19" s="151"/>
      <c r="G19" s="151"/>
      <c r="H19" s="151"/>
      <c r="I19" s="151"/>
      <c r="J19" s="151"/>
      <c r="K19" s="151"/>
      <c r="L19" s="151"/>
      <c r="M19" s="151"/>
      <c r="N19" s="151"/>
      <c r="O19" s="151"/>
      <c r="P19" s="151"/>
      <c r="Q19" s="151"/>
      <c r="R19" s="151"/>
      <c r="S19" s="151"/>
      <c r="T19" s="151"/>
      <c r="U19" s="151"/>
      <c r="V19" s="151"/>
      <c r="W19" s="151"/>
      <c r="X19" s="151"/>
    </row>
    <row r="20" spans="1:24" x14ac:dyDescent="0.2">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row>
    <row r="21" spans="1:24" x14ac:dyDescent="0.2">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row>
    <row r="22" spans="1:24" x14ac:dyDescent="0.2">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row>
    <row r="23" spans="1:24" x14ac:dyDescent="0.2">
      <c r="A23" s="151"/>
      <c r="B23" s="151"/>
      <c r="C23" s="151"/>
      <c r="D23" s="151"/>
      <c r="E23" s="151"/>
      <c r="F23" s="151"/>
      <c r="G23" s="151"/>
      <c r="H23" s="151"/>
      <c r="I23" s="151"/>
      <c r="J23" s="151"/>
      <c r="K23" s="151"/>
      <c r="L23" s="151"/>
      <c r="M23" s="151"/>
      <c r="N23" s="151"/>
      <c r="O23" s="151"/>
      <c r="P23" s="151"/>
      <c r="Q23" s="151"/>
      <c r="R23" s="151"/>
      <c r="S23" s="151"/>
      <c r="T23" s="151"/>
      <c r="U23" s="151"/>
      <c r="V23" s="151"/>
      <c r="W23" s="151"/>
      <c r="X23" s="151"/>
    </row>
    <row r="24" spans="1:24" x14ac:dyDescent="0.2">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row>
    <row r="25" spans="1:24" x14ac:dyDescent="0.2">
      <c r="A25" s="151"/>
      <c r="B25" s="151"/>
      <c r="C25" s="151"/>
      <c r="D25" s="151"/>
      <c r="E25" s="151"/>
      <c r="F25" s="151"/>
      <c r="G25" s="151"/>
      <c r="H25" s="151"/>
      <c r="I25" s="151"/>
      <c r="J25" s="151"/>
      <c r="K25" s="151"/>
      <c r="L25" s="151"/>
      <c r="M25" s="151"/>
      <c r="N25" s="151"/>
      <c r="O25" s="151"/>
      <c r="P25" s="151"/>
      <c r="Q25" s="151"/>
      <c r="R25" s="151"/>
      <c r="S25" s="151"/>
      <c r="T25" s="151"/>
      <c r="U25" s="151"/>
      <c r="V25" s="151"/>
      <c r="W25" s="151"/>
      <c r="X25" s="151"/>
    </row>
    <row r="26" spans="1:24" x14ac:dyDescent="0.2">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row>
    <row r="27" spans="1:24" x14ac:dyDescent="0.2">
      <c r="A27" s="151"/>
      <c r="B27" s="151"/>
      <c r="C27" s="151"/>
      <c r="D27" s="151"/>
      <c r="E27" s="151"/>
      <c r="F27" s="151"/>
      <c r="G27" s="151"/>
      <c r="H27" s="151"/>
      <c r="I27" s="151"/>
      <c r="J27" s="151"/>
      <c r="K27" s="151"/>
      <c r="L27" s="151"/>
      <c r="M27" s="151"/>
      <c r="N27" s="151"/>
      <c r="O27" s="151"/>
      <c r="P27" s="151"/>
      <c r="Q27" s="151"/>
      <c r="R27" s="151"/>
      <c r="S27" s="151"/>
      <c r="T27" s="151"/>
      <c r="U27" s="151"/>
      <c r="V27" s="151"/>
      <c r="W27" s="151"/>
      <c r="X27" s="151"/>
    </row>
    <row r="28" spans="1:24" x14ac:dyDescent="0.2">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row>
    <row r="29" spans="1:24" x14ac:dyDescent="0.2">
      <c r="A29" s="151"/>
      <c r="B29" s="151"/>
      <c r="C29" s="151"/>
      <c r="D29" s="151"/>
      <c r="E29" s="151"/>
      <c r="F29" s="151"/>
      <c r="G29" s="151"/>
      <c r="H29" s="151"/>
      <c r="I29" s="151"/>
      <c r="J29" s="151"/>
      <c r="K29" s="151"/>
      <c r="L29" s="151"/>
      <c r="M29" s="151"/>
      <c r="N29" s="151"/>
      <c r="O29" s="151"/>
      <c r="P29" s="151"/>
      <c r="Q29" s="151"/>
      <c r="R29" s="151"/>
      <c r="S29" s="151"/>
      <c r="T29" s="151"/>
      <c r="U29" s="151"/>
      <c r="V29" s="151"/>
      <c r="W29" s="151"/>
      <c r="X29" s="151"/>
    </row>
    <row r="30" spans="1:24" x14ac:dyDescent="0.2">
      <c r="A30" s="151"/>
      <c r="B30" s="151"/>
      <c r="C30" s="151"/>
      <c r="D30" s="151"/>
      <c r="E30" s="151"/>
      <c r="F30" s="151"/>
      <c r="G30" s="151"/>
      <c r="H30" s="151"/>
      <c r="I30" s="151"/>
      <c r="J30" s="151"/>
      <c r="K30" s="151"/>
      <c r="L30" s="151"/>
      <c r="M30" s="151"/>
      <c r="N30" s="151"/>
      <c r="O30" s="151"/>
      <c r="P30" s="151"/>
      <c r="Q30" s="151"/>
      <c r="R30" s="151"/>
      <c r="S30" s="151"/>
      <c r="T30" s="151"/>
      <c r="U30" s="151"/>
      <c r="V30" s="151"/>
      <c r="W30" s="151"/>
      <c r="X30" s="151"/>
    </row>
    <row r="31" spans="1:24" x14ac:dyDescent="0.2">
      <c r="A31" s="151"/>
      <c r="B31" s="151"/>
      <c r="C31" s="151"/>
      <c r="D31" s="151"/>
      <c r="E31" s="151"/>
      <c r="F31" s="151"/>
      <c r="G31" s="151"/>
      <c r="H31" s="151"/>
      <c r="I31" s="151"/>
      <c r="J31" s="151"/>
      <c r="K31" s="151"/>
      <c r="L31" s="151"/>
      <c r="M31" s="151"/>
      <c r="N31" s="151"/>
      <c r="O31" s="151"/>
      <c r="P31" s="151"/>
      <c r="Q31" s="151"/>
      <c r="R31" s="151"/>
      <c r="S31" s="151"/>
      <c r="T31" s="151"/>
      <c r="U31" s="151"/>
      <c r="V31" s="151"/>
      <c r="W31" s="151"/>
      <c r="X31" s="151"/>
    </row>
    <row r="32" spans="1:24" x14ac:dyDescent="0.2">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row>
    <row r="33" spans="1:24" x14ac:dyDescent="0.2">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row>
    <row r="34" spans="1:24" x14ac:dyDescent="0.2">
      <c r="A34" s="151"/>
      <c r="B34" s="151"/>
      <c r="C34" s="151"/>
      <c r="D34" s="151"/>
      <c r="E34" s="151"/>
      <c r="F34" s="151"/>
      <c r="G34" s="151"/>
      <c r="H34" s="151"/>
      <c r="I34" s="151"/>
      <c r="J34" s="151"/>
      <c r="K34" s="151"/>
      <c r="L34" s="151"/>
      <c r="M34" s="151"/>
      <c r="N34" s="151"/>
      <c r="O34" s="151"/>
      <c r="P34" s="151"/>
      <c r="Q34" s="151"/>
      <c r="R34" s="151"/>
      <c r="S34" s="151"/>
      <c r="T34" s="151"/>
      <c r="U34" s="151"/>
      <c r="V34" s="151"/>
      <c r="W34" s="151"/>
      <c r="X34" s="151"/>
    </row>
    <row r="35" spans="1:24" x14ac:dyDescent="0.2">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row>
    <row r="36" spans="1:24" x14ac:dyDescent="0.2">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row>
    <row r="37" spans="1:24" x14ac:dyDescent="0.2">
      <c r="A37" s="151"/>
      <c r="B37" s="151"/>
      <c r="C37" s="151"/>
      <c r="D37" s="151"/>
      <c r="E37" s="151"/>
      <c r="F37" s="151"/>
      <c r="G37" s="151"/>
      <c r="H37" s="151"/>
      <c r="I37" s="151"/>
      <c r="J37" s="151"/>
      <c r="K37" s="151"/>
      <c r="L37" s="151"/>
      <c r="M37" s="151"/>
      <c r="N37" s="151"/>
      <c r="O37" s="151"/>
      <c r="P37" s="151"/>
      <c r="Q37" s="151"/>
      <c r="R37" s="151"/>
      <c r="S37" s="151"/>
      <c r="T37" s="151"/>
      <c r="U37" s="151"/>
      <c r="V37" s="151"/>
      <c r="W37" s="151"/>
      <c r="X37" s="151"/>
    </row>
    <row r="38" spans="1:24" x14ac:dyDescent="0.2">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row>
    <row r="39" spans="1:24" x14ac:dyDescent="0.2">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row>
    <row r="40" spans="1:24" x14ac:dyDescent="0.2">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row>
    <row r="41" spans="1:24" x14ac:dyDescent="0.2">
      <c r="A41" s="151"/>
      <c r="B41" s="151"/>
      <c r="C41" s="151"/>
      <c r="D41" s="151"/>
      <c r="E41" s="151"/>
      <c r="F41" s="151"/>
      <c r="G41" s="151"/>
      <c r="H41" s="151"/>
      <c r="I41" s="151"/>
      <c r="J41" s="151"/>
      <c r="K41" s="151"/>
      <c r="L41" s="151"/>
      <c r="M41" s="151"/>
      <c r="N41" s="151"/>
      <c r="O41" s="151"/>
      <c r="P41" s="151"/>
      <c r="Q41" s="151"/>
      <c r="R41" s="151"/>
      <c r="S41" s="151"/>
      <c r="T41" s="151"/>
      <c r="U41" s="151"/>
      <c r="V41" s="151"/>
      <c r="W41" s="151"/>
      <c r="X41" s="151"/>
    </row>
    <row r="42" spans="1:24" x14ac:dyDescent="0.2">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row>
    <row r="43" spans="1:24" x14ac:dyDescent="0.2">
      <c r="A43" s="151"/>
      <c r="B43" s="151"/>
      <c r="C43" s="151"/>
      <c r="D43" s="151"/>
      <c r="E43" s="151"/>
      <c r="F43" s="151"/>
      <c r="G43" s="151"/>
      <c r="H43" s="151"/>
      <c r="I43" s="151"/>
      <c r="J43" s="151"/>
      <c r="K43" s="151"/>
      <c r="L43" s="151"/>
      <c r="M43" s="151"/>
      <c r="N43" s="151"/>
      <c r="O43" s="151"/>
      <c r="P43" s="151"/>
      <c r="Q43" s="151"/>
      <c r="R43" s="151"/>
      <c r="S43" s="151"/>
      <c r="T43" s="151"/>
      <c r="U43" s="151"/>
      <c r="V43" s="151"/>
      <c r="W43" s="151"/>
      <c r="X43" s="151"/>
    </row>
    <row r="44" spans="1:24" x14ac:dyDescent="0.2">
      <c r="A44" s="151"/>
      <c r="B44" s="151"/>
      <c r="C44" s="151"/>
      <c r="D44" s="151"/>
      <c r="E44" s="151"/>
      <c r="F44" s="151"/>
      <c r="G44" s="151"/>
      <c r="H44" s="151"/>
      <c r="I44" s="151"/>
      <c r="J44" s="151"/>
      <c r="K44" s="151"/>
      <c r="L44" s="151"/>
      <c r="M44" s="151"/>
      <c r="N44" s="151"/>
      <c r="O44" s="151"/>
      <c r="P44" s="151"/>
      <c r="Q44" s="151"/>
      <c r="R44" s="151"/>
      <c r="S44" s="151"/>
      <c r="T44" s="151"/>
      <c r="U44" s="151"/>
      <c r="V44" s="151"/>
      <c r="W44" s="151"/>
      <c r="X44" s="151"/>
    </row>
    <row r="45" spans="1:24" x14ac:dyDescent="0.2">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row>
    <row r="46" spans="1:24"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row>
    <row r="47" spans="1:24"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row>
    <row r="48" spans="1:24"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row>
    <row r="49" spans="1:24"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row>
    <row r="50" spans="1:24"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row>
    <row r="51" spans="1:24"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row>
    <row r="52" spans="1:24"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row>
    <row r="53" spans="1:24"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row>
  </sheetData>
  <sheetProtection algorithmName="SHA-512" hashValue="YHh9nxf3a5WlhGzZLa5PyDaxq87m3ytuJqCTzHB2uxUIDR8KFPkOgEaU3T3pNYUBh25/eCYKJAoMnkNAF4dtCQ==" saltValue="t9t75SqJi2siThBvwBlprA==" spinCount="100000" sheet="1" objects="1" scenarios="1"/>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5"/>
  <sheetViews>
    <sheetView zoomScaleNormal="100" workbookViewId="0">
      <selection activeCell="B11" sqref="B11:F11"/>
    </sheetView>
  </sheetViews>
  <sheetFormatPr baseColWidth="10" defaultColWidth="11" defaultRowHeight="15" outlineLevelRow="1" x14ac:dyDescent="0.2"/>
  <cols>
    <col min="1" max="1" width="24.125" style="18" customWidth="1"/>
    <col min="2" max="2" width="11.125" style="18" customWidth="1"/>
    <col min="3" max="3" width="8.75" style="18" customWidth="1"/>
    <col min="4" max="4" width="7.625" style="18" customWidth="1"/>
    <col min="5" max="5" width="14.125" style="18" customWidth="1"/>
    <col min="6" max="6" width="9.375" style="18" customWidth="1"/>
    <col min="7" max="7" width="11" style="18"/>
    <col min="8" max="8" width="13.625" style="18" hidden="1" customWidth="1"/>
    <col min="9" max="9" width="19.125" style="18" hidden="1" customWidth="1"/>
    <col min="10" max="10" width="6.75" style="18" hidden="1" customWidth="1"/>
    <col min="11" max="11" width="34" style="195" hidden="1" customWidth="1"/>
    <col min="12" max="12" width="11" style="195" hidden="1" customWidth="1"/>
    <col min="13" max="13" width="11" style="18" customWidth="1"/>
    <col min="14" max="16" width="12.125" style="18" customWidth="1"/>
    <col min="17" max="16384" width="11" style="18"/>
  </cols>
  <sheetData>
    <row r="1" spans="1:52" s="14" customFormat="1" ht="18.75" customHeight="1" x14ac:dyDescent="0.25">
      <c r="A1" s="164" t="s">
        <v>220</v>
      </c>
      <c r="B1" s="165"/>
      <c r="C1" s="197"/>
      <c r="D1" s="197"/>
      <c r="E1" s="197"/>
      <c r="F1" s="197"/>
      <c r="G1" s="197"/>
      <c r="H1" s="199"/>
      <c r="I1" s="200"/>
      <c r="J1" s="255"/>
      <c r="K1" s="256"/>
      <c r="L1" s="256"/>
      <c r="M1" s="257"/>
      <c r="N1" s="257"/>
      <c r="O1" s="257"/>
      <c r="P1" s="257"/>
      <c r="Q1" s="257"/>
      <c r="R1" s="257"/>
      <c r="S1" s="257"/>
      <c r="T1" s="257"/>
      <c r="U1" s="257"/>
      <c r="V1" s="257"/>
      <c r="W1" s="257"/>
      <c r="X1" s="257"/>
      <c r="Y1" s="257"/>
      <c r="Z1" s="220"/>
      <c r="AA1" s="220"/>
      <c r="AB1" s="220"/>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row>
    <row r="2" spans="1:52" s="14" customFormat="1" ht="18.75" customHeight="1" x14ac:dyDescent="0.25">
      <c r="A2" s="166" t="str">
        <f>IF(L4=1,K8,L8)</f>
        <v>STAMMDATENBLATT</v>
      </c>
      <c r="B2" s="167"/>
      <c r="C2" s="197"/>
      <c r="D2" s="197"/>
      <c r="E2" s="197"/>
      <c r="F2" s="198"/>
      <c r="G2" s="197"/>
      <c r="H2" s="199"/>
      <c r="I2" s="200"/>
      <c r="J2" s="255"/>
      <c r="K2" s="256"/>
      <c r="L2" s="256"/>
      <c r="M2" s="257"/>
      <c r="N2" s="257"/>
      <c r="O2" s="257"/>
      <c r="P2" s="257"/>
      <c r="Q2" s="257"/>
      <c r="R2" s="257"/>
      <c r="S2" s="257"/>
      <c r="T2" s="257"/>
      <c r="U2" s="257"/>
      <c r="V2" s="257"/>
      <c r="W2" s="257"/>
      <c r="X2" s="257"/>
      <c r="Y2" s="257"/>
      <c r="Z2" s="220"/>
      <c r="AA2" s="220"/>
      <c r="AB2" s="220"/>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row>
    <row r="3" spans="1:52" s="14" customFormat="1" ht="12.75" customHeight="1" x14ac:dyDescent="0.2">
      <c r="A3" s="196"/>
      <c r="B3" s="197"/>
      <c r="C3" s="197"/>
      <c r="D3" s="197"/>
      <c r="E3" s="197"/>
      <c r="F3" s="198"/>
      <c r="G3" s="197"/>
      <c r="H3" s="199"/>
      <c r="I3" s="200"/>
      <c r="J3" s="255"/>
      <c r="K3" s="256"/>
      <c r="L3" s="256"/>
      <c r="M3" s="257"/>
      <c r="N3" s="257"/>
      <c r="O3" s="257"/>
      <c r="P3" s="257"/>
      <c r="Q3" s="257"/>
      <c r="R3" s="257"/>
      <c r="S3" s="257"/>
      <c r="T3" s="257"/>
      <c r="U3" s="257"/>
      <c r="V3" s="257"/>
      <c r="W3" s="257"/>
      <c r="X3" s="257"/>
      <c r="Y3" s="257"/>
      <c r="Z3" s="220"/>
      <c r="AA3" s="220"/>
      <c r="AB3" s="220"/>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row>
    <row r="4" spans="1:52" s="14" customFormat="1" ht="12.75" customHeight="1" x14ac:dyDescent="0.2">
      <c r="A4" s="201"/>
      <c r="B4" s="202"/>
      <c r="C4" s="197"/>
      <c r="D4" s="197"/>
      <c r="E4" s="197"/>
      <c r="F4" s="203" t="s">
        <v>948</v>
      </c>
      <c r="G4" s="197"/>
      <c r="H4" s="199"/>
      <c r="I4" s="200"/>
      <c r="J4" s="255"/>
      <c r="K4" s="248" t="s">
        <v>308</v>
      </c>
      <c r="L4" s="248">
        <v>1</v>
      </c>
      <c r="M4" s="257"/>
      <c r="N4" s="257"/>
      <c r="O4" s="257"/>
      <c r="P4" s="257"/>
      <c r="Q4" s="257"/>
      <c r="R4" s="257"/>
      <c r="S4" s="257"/>
      <c r="T4" s="257"/>
      <c r="U4" s="257"/>
      <c r="V4" s="257"/>
      <c r="W4" s="257"/>
      <c r="X4" s="257"/>
      <c r="Y4" s="257"/>
      <c r="Z4" s="220"/>
      <c r="AA4" s="220"/>
      <c r="AB4" s="220"/>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row>
    <row r="5" spans="1:52" s="14" customFormat="1" x14ac:dyDescent="0.2">
      <c r="A5" s="210" t="s">
        <v>315</v>
      </c>
      <c r="B5" s="202"/>
      <c r="C5" s="197"/>
      <c r="D5" s="197"/>
      <c r="E5" s="197"/>
      <c r="F5" s="203"/>
      <c r="G5" s="197"/>
      <c r="H5" s="199"/>
      <c r="I5" s="200"/>
      <c r="J5" s="255"/>
      <c r="K5" s="248" t="s">
        <v>309</v>
      </c>
      <c r="L5" s="248"/>
      <c r="M5" s="257"/>
      <c r="N5" s="257"/>
      <c r="O5" s="257"/>
      <c r="P5" s="257"/>
      <c r="Q5" s="257"/>
      <c r="R5" s="257"/>
      <c r="S5" s="257"/>
      <c r="T5" s="257"/>
      <c r="U5" s="257"/>
      <c r="V5" s="257"/>
      <c r="W5" s="257"/>
      <c r="X5" s="257"/>
      <c r="Y5" s="257"/>
      <c r="Z5" s="220"/>
      <c r="AA5" s="220"/>
      <c r="AB5" s="220"/>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row>
    <row r="6" spans="1:52" s="14" customFormat="1" ht="9.75" customHeight="1" x14ac:dyDescent="0.2">
      <c r="A6" s="201"/>
      <c r="B6" s="202"/>
      <c r="C6" s="197"/>
      <c r="D6" s="197"/>
      <c r="E6" s="197"/>
      <c r="F6" s="203"/>
      <c r="G6" s="197"/>
      <c r="H6" s="199"/>
      <c r="I6" s="200"/>
      <c r="J6" s="255"/>
      <c r="K6" s="248"/>
      <c r="L6" s="248"/>
      <c r="M6" s="257"/>
      <c r="N6" s="257"/>
      <c r="O6" s="257"/>
      <c r="P6" s="257"/>
      <c r="Q6" s="257"/>
      <c r="R6" s="257"/>
      <c r="S6" s="257"/>
      <c r="T6" s="257"/>
      <c r="U6" s="257"/>
      <c r="V6" s="257"/>
      <c r="W6" s="257"/>
      <c r="X6" s="257"/>
      <c r="Y6" s="257"/>
      <c r="Z6" s="220"/>
      <c r="AA6" s="220"/>
      <c r="AB6" s="220"/>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row>
    <row r="7" spans="1:52" s="14" customFormat="1" ht="12.75" customHeight="1" x14ac:dyDescent="0.2">
      <c r="A7" s="204" t="str">
        <f>IF($L$4=1,K37,L37)</f>
        <v>Spielfilm</v>
      </c>
      <c r="B7" s="197"/>
      <c r="C7" s="197"/>
      <c r="D7" s="663" t="s">
        <v>790</v>
      </c>
      <c r="E7" s="197"/>
      <c r="F7" s="660"/>
      <c r="G7" s="197"/>
      <c r="H7" s="206" t="s">
        <v>142</v>
      </c>
      <c r="I7" s="207" t="b">
        <v>0</v>
      </c>
      <c r="J7" s="255"/>
      <c r="K7" s="248"/>
      <c r="L7" s="248"/>
      <c r="M7" s="257"/>
      <c r="N7" s="257"/>
      <c r="O7" s="257"/>
      <c r="P7" s="257"/>
      <c r="Q7" s="257"/>
      <c r="R7" s="257"/>
      <c r="S7" s="257"/>
      <c r="T7" s="257"/>
      <c r="U7" s="257"/>
      <c r="V7" s="257"/>
      <c r="W7" s="257"/>
      <c r="X7" s="257"/>
      <c r="Y7" s="257"/>
      <c r="Z7" s="220"/>
      <c r="AA7" s="220"/>
      <c r="AB7" s="220"/>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row>
    <row r="8" spans="1:52" s="14" customFormat="1" ht="12.75" customHeight="1" x14ac:dyDescent="0.2">
      <c r="A8" s="204" t="str">
        <f>IF($L$4=1,K38,L38)</f>
        <v>Dokumentarfilm</v>
      </c>
      <c r="B8" s="197"/>
      <c r="C8" s="197"/>
      <c r="D8" s="197"/>
      <c r="E8" s="197"/>
      <c r="F8" s="205"/>
      <c r="G8" s="197"/>
      <c r="H8" s="206" t="s">
        <v>950</v>
      </c>
      <c r="I8" s="207" t="b">
        <v>0</v>
      </c>
      <c r="J8" s="255"/>
      <c r="K8" s="258" t="s">
        <v>792</v>
      </c>
      <c r="L8" s="258" t="s">
        <v>793</v>
      </c>
      <c r="M8" s="259"/>
      <c r="N8" s="257"/>
      <c r="O8" s="257"/>
      <c r="P8" s="257"/>
      <c r="Q8" s="257"/>
      <c r="R8" s="257"/>
      <c r="S8" s="257"/>
      <c r="T8" s="257"/>
      <c r="U8" s="257"/>
      <c r="V8" s="257"/>
      <c r="W8" s="257"/>
      <c r="X8" s="257"/>
      <c r="Y8" s="257"/>
      <c r="Z8" s="220"/>
      <c r="AA8" s="220"/>
      <c r="AB8" s="220"/>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row>
    <row r="9" spans="1:52" s="14" customFormat="1" ht="12.75" customHeight="1" x14ac:dyDescent="0.2">
      <c r="A9" s="204" t="str">
        <f>IF($L$4=1,K39,L39)</f>
        <v>Werkstattprojekt</v>
      </c>
      <c r="B9" s="197"/>
      <c r="C9" s="197"/>
      <c r="D9" s="662" t="s">
        <v>973</v>
      </c>
      <c r="E9" s="661"/>
      <c r="F9" s="205"/>
      <c r="G9" s="197"/>
      <c r="H9" s="206" t="s">
        <v>807</v>
      </c>
      <c r="I9" s="207" t="b">
        <v>0</v>
      </c>
      <c r="J9" s="255"/>
      <c r="K9" s="258" t="s">
        <v>789</v>
      </c>
      <c r="L9" s="258" t="s">
        <v>289</v>
      </c>
      <c r="M9" s="260"/>
      <c r="N9" s="257"/>
      <c r="O9" s="257"/>
      <c r="P9" s="257"/>
      <c r="Q9" s="257"/>
      <c r="R9" s="257"/>
      <c r="S9" s="257"/>
      <c r="T9" s="257"/>
      <c r="U9" s="257"/>
      <c r="V9" s="257"/>
      <c r="W9" s="257"/>
      <c r="X9" s="257"/>
      <c r="Y9" s="257"/>
      <c r="Z9" s="220"/>
      <c r="AA9" s="220"/>
      <c r="AB9" s="220"/>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row>
    <row r="10" spans="1:52" s="14" customFormat="1" ht="12.75" customHeight="1" x14ac:dyDescent="0.2">
      <c r="A10" s="208"/>
      <c r="B10" s="197"/>
      <c r="C10" s="197"/>
      <c r="D10" s="197"/>
      <c r="E10" s="197"/>
      <c r="F10" s="209"/>
      <c r="G10" s="197"/>
      <c r="H10" s="206" t="s">
        <v>972</v>
      </c>
      <c r="I10" s="207" t="b">
        <v>0</v>
      </c>
      <c r="J10" s="255"/>
      <c r="K10" s="258"/>
      <c r="L10" s="258"/>
      <c r="M10" s="259"/>
      <c r="N10" s="257"/>
      <c r="O10" s="257"/>
      <c r="P10" s="257"/>
      <c r="Q10" s="257"/>
      <c r="R10" s="257"/>
      <c r="S10" s="257"/>
      <c r="T10" s="257"/>
      <c r="U10" s="257"/>
      <c r="V10" s="257"/>
      <c r="W10" s="257"/>
      <c r="X10" s="257"/>
      <c r="Y10" s="257"/>
      <c r="Z10" s="220"/>
      <c r="AA10" s="220"/>
      <c r="AB10" s="220"/>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row>
    <row r="11" spans="1:52" s="14" customFormat="1" ht="12.75" customHeight="1" x14ac:dyDescent="0.2">
      <c r="A11" s="204" t="str">
        <f>IF($L$4=1,K9,L9)</f>
        <v>Produktionsfirma</v>
      </c>
      <c r="B11" s="1124"/>
      <c r="C11" s="1125"/>
      <c r="D11" s="1125"/>
      <c r="E11" s="1125"/>
      <c r="F11" s="1129"/>
      <c r="G11" s="197"/>
      <c r="H11" s="206"/>
      <c r="I11" s="207"/>
      <c r="J11" s="261"/>
      <c r="K11" s="258" t="s">
        <v>143</v>
      </c>
      <c r="L11" s="258" t="s">
        <v>290</v>
      </c>
      <c r="M11" s="260"/>
      <c r="N11" s="257"/>
      <c r="O11" s="257"/>
      <c r="P11" s="257"/>
      <c r="Q11" s="257"/>
      <c r="R11" s="257"/>
      <c r="S11" s="257"/>
      <c r="T11" s="257"/>
      <c r="U11" s="257"/>
      <c r="V11" s="257"/>
      <c r="W11" s="257"/>
      <c r="X11" s="257"/>
      <c r="Y11" s="257"/>
      <c r="Z11" s="220"/>
      <c r="AA11" s="220"/>
      <c r="AB11" s="220"/>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row>
    <row r="12" spans="1:52" s="14" customFormat="1" ht="12.75" customHeight="1" x14ac:dyDescent="0.2">
      <c r="A12" s="208"/>
      <c r="B12" s="197"/>
      <c r="C12" s="197"/>
      <c r="D12" s="197"/>
      <c r="E12" s="197"/>
      <c r="F12" s="197"/>
      <c r="G12" s="197"/>
      <c r="H12" s="206"/>
      <c r="I12" s="207"/>
      <c r="J12" s="261"/>
      <c r="K12" s="258" t="s">
        <v>796</v>
      </c>
      <c r="L12" s="258" t="s">
        <v>963</v>
      </c>
      <c r="M12" s="260"/>
      <c r="N12" s="257"/>
      <c r="O12" s="257"/>
      <c r="P12" s="257"/>
      <c r="Q12" s="257"/>
      <c r="R12" s="257"/>
      <c r="S12" s="257"/>
      <c r="T12" s="257"/>
      <c r="U12" s="257"/>
      <c r="V12" s="257"/>
      <c r="W12" s="257"/>
      <c r="X12" s="257"/>
      <c r="Y12" s="257"/>
      <c r="Z12" s="220"/>
      <c r="AA12" s="220"/>
      <c r="AB12" s="220"/>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row>
    <row r="13" spans="1:52" s="14" customFormat="1" ht="12.75" customHeight="1" x14ac:dyDescent="0.2">
      <c r="A13" s="204" t="str">
        <f t="shared" ref="A13" si="0">IF($L$4=1,K11,L11)</f>
        <v>Regie</v>
      </c>
      <c r="B13" s="1124"/>
      <c r="C13" s="1125"/>
      <c r="D13" s="1125"/>
      <c r="E13" s="1125"/>
      <c r="F13" s="170"/>
      <c r="G13" s="197"/>
      <c r="H13" s="206" t="s">
        <v>143</v>
      </c>
      <c r="I13" s="207" t="s">
        <v>971</v>
      </c>
      <c r="J13" s="261"/>
      <c r="K13" s="258" t="s">
        <v>35</v>
      </c>
      <c r="L13" s="258" t="s">
        <v>291</v>
      </c>
      <c r="M13" s="260"/>
      <c r="N13" s="257"/>
      <c r="O13" s="257"/>
      <c r="P13" s="257"/>
      <c r="Q13" s="257"/>
      <c r="R13" s="257"/>
      <c r="S13" s="257"/>
      <c r="T13" s="257"/>
      <c r="U13" s="257"/>
      <c r="V13" s="257"/>
      <c r="W13" s="257"/>
      <c r="X13" s="257"/>
      <c r="Y13" s="257"/>
      <c r="Z13" s="220"/>
      <c r="AA13" s="220"/>
      <c r="AB13" s="220"/>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row>
    <row r="14" spans="1:52" s="14" customFormat="1" ht="12.75" customHeight="1" x14ac:dyDescent="0.2">
      <c r="A14" s="211"/>
      <c r="B14" s="221" t="str">
        <f t="shared" ref="B14" si="1">IF($L$4=1,K12,L12)</f>
        <v>Debutfilm (1. abendfüllender Kinofilm)</v>
      </c>
      <c r="C14" s="222"/>
      <c r="D14" s="222"/>
      <c r="E14" s="222"/>
      <c r="F14" s="223"/>
      <c r="G14" s="197"/>
      <c r="H14" s="206" t="s">
        <v>791</v>
      </c>
      <c r="I14" s="207" t="b">
        <v>0</v>
      </c>
      <c r="J14" s="261"/>
      <c r="K14" s="258" t="s">
        <v>962</v>
      </c>
      <c r="L14" s="258" t="s">
        <v>961</v>
      </c>
      <c r="M14" s="260"/>
      <c r="N14" s="257"/>
      <c r="O14" s="257"/>
      <c r="P14" s="257"/>
      <c r="Q14" s="257"/>
      <c r="R14" s="257"/>
      <c r="S14" s="257"/>
      <c r="T14" s="257"/>
      <c r="U14" s="257"/>
      <c r="V14" s="257"/>
      <c r="W14" s="257"/>
      <c r="X14" s="257"/>
      <c r="Y14" s="257"/>
      <c r="Z14" s="220"/>
      <c r="AA14" s="220"/>
      <c r="AB14" s="220"/>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row>
    <row r="15" spans="1:52" s="15" customFormat="1" ht="12.75" customHeight="1" x14ac:dyDescent="0.2">
      <c r="A15" s="211"/>
      <c r="B15" s="224" t="s">
        <v>959</v>
      </c>
      <c r="C15" s="197"/>
      <c r="D15" s="197"/>
      <c r="E15" s="197"/>
      <c r="F15" s="225"/>
      <c r="G15" s="240"/>
      <c r="H15" s="206" t="s">
        <v>953</v>
      </c>
      <c r="I15" s="207" t="b">
        <v>0</v>
      </c>
      <c r="J15" s="261"/>
      <c r="K15" s="258" t="s">
        <v>149</v>
      </c>
      <c r="L15" s="258" t="s">
        <v>292</v>
      </c>
      <c r="M15" s="260"/>
      <c r="N15" s="257"/>
      <c r="O15" s="257"/>
      <c r="P15" s="257"/>
      <c r="Q15" s="262"/>
      <c r="R15" s="262"/>
      <c r="S15" s="262"/>
      <c r="T15" s="262"/>
      <c r="U15" s="262"/>
      <c r="V15" s="262"/>
      <c r="W15" s="262"/>
      <c r="X15" s="262"/>
      <c r="Y15" s="262"/>
      <c r="Z15" s="220"/>
      <c r="AA15" s="220"/>
      <c r="AB15" s="220"/>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row>
    <row r="16" spans="1:52" s="15" customFormat="1" ht="12.75" customHeight="1" x14ac:dyDescent="0.2">
      <c r="A16" s="204" t="str">
        <f>IF($L$4=1,K13,L13)</f>
        <v>Drehbuch</v>
      </c>
      <c r="B16" s="1122"/>
      <c r="C16" s="1123"/>
      <c r="D16" s="1123"/>
      <c r="E16" s="1123"/>
      <c r="F16" s="169"/>
      <c r="G16" s="240"/>
      <c r="H16" s="206" t="s">
        <v>35</v>
      </c>
      <c r="I16" s="207" t="s">
        <v>970</v>
      </c>
      <c r="J16" s="261"/>
      <c r="K16" s="258" t="s">
        <v>144</v>
      </c>
      <c r="L16" s="258" t="s">
        <v>293</v>
      </c>
      <c r="M16" s="260"/>
      <c r="N16" s="257"/>
      <c r="O16" s="257"/>
      <c r="P16" s="257"/>
      <c r="Q16" s="262"/>
      <c r="R16" s="262"/>
      <c r="S16" s="262"/>
      <c r="T16" s="262"/>
      <c r="U16" s="262"/>
      <c r="V16" s="262"/>
      <c r="W16" s="262"/>
      <c r="X16" s="262"/>
      <c r="Y16" s="262"/>
      <c r="Z16" s="220"/>
      <c r="AA16" s="220"/>
      <c r="AB16" s="220"/>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row>
    <row r="17" spans="1:52" s="15" customFormat="1" ht="12.75" customHeight="1" x14ac:dyDescent="0.2">
      <c r="A17" s="204"/>
      <c r="B17" s="221" t="str">
        <f>IF($L$4=1,K14,L14)</f>
        <v>Debut (Drehbuch)</v>
      </c>
      <c r="C17" s="222"/>
      <c r="D17" s="222"/>
      <c r="E17" s="222"/>
      <c r="F17" s="223"/>
      <c r="G17" s="240"/>
      <c r="H17" s="206" t="s">
        <v>960</v>
      </c>
      <c r="I17" s="207" t="b">
        <v>0</v>
      </c>
      <c r="J17" s="261"/>
      <c r="K17" s="258" t="s">
        <v>185</v>
      </c>
      <c r="L17" s="258" t="s">
        <v>294</v>
      </c>
      <c r="M17" s="260"/>
      <c r="N17" s="257"/>
      <c r="O17" s="257"/>
      <c r="P17" s="257"/>
      <c r="Q17" s="262"/>
      <c r="R17" s="262"/>
      <c r="S17" s="262"/>
      <c r="T17" s="262"/>
      <c r="U17" s="262"/>
      <c r="V17" s="262"/>
      <c r="W17" s="262"/>
      <c r="X17" s="262"/>
      <c r="Y17" s="262"/>
      <c r="Z17" s="220"/>
      <c r="AA17" s="220"/>
      <c r="AB17" s="220"/>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row>
    <row r="18" spans="1:52" s="15" customFormat="1" ht="12.75" customHeight="1" x14ac:dyDescent="0.2">
      <c r="A18" s="204" t="str">
        <f>IF($L$4=1,K15,L15)</f>
        <v>Herstellungsleitung</v>
      </c>
      <c r="B18" s="1122"/>
      <c r="C18" s="1123"/>
      <c r="D18" s="1123"/>
      <c r="E18" s="1123"/>
      <c r="F18" s="169"/>
      <c r="G18" s="240"/>
      <c r="H18" s="206" t="s">
        <v>964</v>
      </c>
      <c r="I18" s="207" t="s">
        <v>967</v>
      </c>
      <c r="J18" s="261"/>
      <c r="K18" s="258"/>
      <c r="L18" s="258"/>
      <c r="M18" s="260"/>
      <c r="N18" s="257"/>
      <c r="O18" s="257"/>
      <c r="P18" s="257"/>
      <c r="Q18" s="262"/>
      <c r="R18" s="262"/>
      <c r="S18" s="262"/>
      <c r="T18" s="262"/>
      <c r="U18" s="262"/>
      <c r="V18" s="262"/>
      <c r="W18" s="262"/>
      <c r="X18" s="262"/>
      <c r="Y18" s="262"/>
      <c r="Z18" s="220"/>
      <c r="AA18" s="220"/>
      <c r="AB18" s="220"/>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row>
    <row r="19" spans="1:52" s="15" customFormat="1" ht="12.75" customHeight="1" x14ac:dyDescent="0.2">
      <c r="A19" s="204" t="str">
        <f>IF($L$4=1,K16,L16)</f>
        <v>Produktionsleitung</v>
      </c>
      <c r="B19" s="1110"/>
      <c r="C19" s="1111"/>
      <c r="D19" s="1111"/>
      <c r="E19" s="1111"/>
      <c r="F19" s="1112"/>
      <c r="G19" s="240"/>
      <c r="H19" s="206" t="s">
        <v>965</v>
      </c>
      <c r="I19" s="207" t="s">
        <v>968</v>
      </c>
      <c r="J19" s="261"/>
      <c r="K19" s="258"/>
      <c r="L19" s="258"/>
      <c r="M19" s="260"/>
      <c r="N19" s="257"/>
      <c r="O19" s="257"/>
      <c r="P19" s="257"/>
      <c r="Q19" s="262"/>
      <c r="R19" s="262"/>
      <c r="S19" s="262"/>
      <c r="T19" s="262"/>
      <c r="U19" s="262"/>
      <c r="V19" s="262"/>
      <c r="W19" s="262"/>
      <c r="X19" s="262"/>
      <c r="Y19" s="262"/>
      <c r="Z19" s="220"/>
      <c r="AA19" s="220"/>
      <c r="AB19" s="220"/>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row>
    <row r="20" spans="1:52" s="15" customFormat="1" ht="12.75" customHeight="1" x14ac:dyDescent="0.2">
      <c r="A20" s="204" t="str">
        <f>IF($L$4=1,K17,L17)</f>
        <v>Filmgeschäftsführung</v>
      </c>
      <c r="B20" s="1132" t="s">
        <v>151</v>
      </c>
      <c r="C20" s="1133"/>
      <c r="D20" s="1133"/>
      <c r="E20" s="1133"/>
      <c r="F20" s="1134"/>
      <c r="G20" s="240"/>
      <c r="H20" s="206" t="s">
        <v>966</v>
      </c>
      <c r="I20" s="207" t="s">
        <v>969</v>
      </c>
      <c r="J20" s="261"/>
      <c r="K20" s="258"/>
      <c r="L20" s="258"/>
      <c r="M20" s="260"/>
      <c r="N20" s="257"/>
      <c r="O20" s="262"/>
      <c r="P20" s="262"/>
      <c r="Q20" s="262"/>
      <c r="R20" s="262"/>
      <c r="S20" s="262"/>
      <c r="T20" s="262"/>
      <c r="U20" s="262"/>
      <c r="V20" s="262"/>
      <c r="W20" s="262"/>
      <c r="X20" s="262"/>
      <c r="Y20" s="262"/>
      <c r="Z20" s="220"/>
      <c r="AA20" s="220"/>
      <c r="AB20" s="220"/>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row>
    <row r="21" spans="1:52" s="15" customFormat="1" ht="12.75" customHeight="1" x14ac:dyDescent="0.2">
      <c r="A21" s="212"/>
      <c r="B21" s="226"/>
      <c r="C21" s="226"/>
      <c r="D21" s="226"/>
      <c r="E21" s="226"/>
      <c r="F21" s="226"/>
      <c r="G21" s="240"/>
      <c r="H21" s="241"/>
      <c r="I21" s="242"/>
      <c r="J21" s="261"/>
      <c r="K21" s="258" t="s">
        <v>147</v>
      </c>
      <c r="L21" s="258" t="s">
        <v>297</v>
      </c>
      <c r="M21" s="260"/>
      <c r="N21" s="262"/>
      <c r="O21" s="262"/>
      <c r="P21" s="262"/>
      <c r="Q21" s="262"/>
      <c r="R21" s="262"/>
      <c r="S21" s="262"/>
      <c r="T21" s="262"/>
      <c r="U21" s="262"/>
      <c r="V21" s="262"/>
      <c r="W21" s="262"/>
      <c r="X21" s="262"/>
      <c r="Y21" s="262"/>
      <c r="Z21" s="220"/>
      <c r="AA21" s="220"/>
      <c r="AB21" s="220"/>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row>
    <row r="22" spans="1:52" s="15" customFormat="1" ht="12.75" customHeight="1" x14ac:dyDescent="0.2">
      <c r="A22" s="213" t="str">
        <f>IF($L$4=1,K21,L21)</f>
        <v>Kalkulation vom (Datum)</v>
      </c>
      <c r="B22" s="168"/>
      <c r="C22" s="227"/>
      <c r="D22" s="213" t="str">
        <f>IF($L$4=1,K22,L22)</f>
        <v>Erstellt von</v>
      </c>
      <c r="E22" s="1130"/>
      <c r="F22" s="1131"/>
      <c r="G22" s="240"/>
      <c r="H22" s="241"/>
      <c r="I22" s="242"/>
      <c r="J22" s="261"/>
      <c r="K22" s="258" t="s">
        <v>301</v>
      </c>
      <c r="L22" s="258" t="s">
        <v>310</v>
      </c>
      <c r="M22" s="260"/>
      <c r="N22" s="262"/>
      <c r="O22" s="262"/>
      <c r="P22" s="262"/>
      <c r="Q22" s="262"/>
      <c r="R22" s="262"/>
      <c r="S22" s="262"/>
      <c r="T22" s="262"/>
      <c r="U22" s="262"/>
      <c r="V22" s="262"/>
      <c r="W22" s="262"/>
      <c r="X22" s="262"/>
      <c r="Y22" s="262"/>
      <c r="Z22" s="220"/>
      <c r="AA22" s="220"/>
      <c r="AB22" s="220"/>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row>
    <row r="23" spans="1:52" s="15" customFormat="1" ht="12.75" customHeight="1" x14ac:dyDescent="0.2">
      <c r="A23" s="214"/>
      <c r="B23" s="228"/>
      <c r="C23" s="227"/>
      <c r="D23" s="229"/>
      <c r="E23" s="230"/>
      <c r="F23" s="230"/>
      <c r="G23" s="240"/>
      <c r="H23" s="241"/>
      <c r="I23" s="242"/>
      <c r="J23" s="261"/>
      <c r="K23" s="258" t="s">
        <v>152</v>
      </c>
      <c r="L23" s="258" t="s">
        <v>295</v>
      </c>
      <c r="M23" s="260"/>
      <c r="N23" s="262"/>
      <c r="O23" s="262"/>
      <c r="P23" s="262"/>
      <c r="Q23" s="262"/>
      <c r="R23" s="262"/>
      <c r="S23" s="262"/>
      <c r="T23" s="262"/>
      <c r="U23" s="262"/>
      <c r="V23" s="262"/>
      <c r="W23" s="262"/>
      <c r="X23" s="262"/>
      <c r="Y23" s="262"/>
      <c r="Z23" s="220"/>
      <c r="AA23" s="220"/>
      <c r="AB23" s="220"/>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row>
    <row r="24" spans="1:52" s="15" customFormat="1" ht="12.75" customHeight="1" x14ac:dyDescent="0.2">
      <c r="A24" s="204" t="str">
        <f>IF($L$4=1,K23,L23)</f>
        <v>Darsteller</v>
      </c>
      <c r="B24" s="1126"/>
      <c r="C24" s="1127"/>
      <c r="D24" s="1127"/>
      <c r="E24" s="1127"/>
      <c r="F24" s="1128"/>
      <c r="G24" s="240"/>
      <c r="H24" s="241"/>
      <c r="I24" s="243" t="s">
        <v>189</v>
      </c>
      <c r="J24" s="261"/>
      <c r="K24" s="258"/>
      <c r="L24" s="258"/>
      <c r="M24" s="260"/>
      <c r="N24" s="262"/>
      <c r="O24" s="262"/>
      <c r="P24" s="262"/>
      <c r="Q24" s="262"/>
      <c r="R24" s="262"/>
      <c r="S24" s="262"/>
      <c r="T24" s="262"/>
      <c r="U24" s="262"/>
      <c r="V24" s="262"/>
      <c r="W24" s="262"/>
      <c r="X24" s="262"/>
      <c r="Y24" s="262"/>
      <c r="Z24" s="220"/>
      <c r="AA24" s="220"/>
      <c r="AB24" s="220"/>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row>
    <row r="25" spans="1:52" s="15" customFormat="1" ht="12.75" customHeight="1" x14ac:dyDescent="0.2">
      <c r="A25" s="214"/>
      <c r="B25" s="1132"/>
      <c r="C25" s="1133"/>
      <c r="D25" s="1133"/>
      <c r="E25" s="1133"/>
      <c r="F25" s="1134"/>
      <c r="G25" s="240"/>
      <c r="H25" s="244"/>
      <c r="I25" s="243" t="s">
        <v>192</v>
      </c>
      <c r="J25" s="261"/>
      <c r="K25" s="258"/>
      <c r="L25" s="258"/>
      <c r="M25" s="260"/>
      <c r="N25" s="262"/>
      <c r="O25" s="262"/>
      <c r="P25" s="262"/>
      <c r="Q25" s="262"/>
      <c r="R25" s="262"/>
      <c r="S25" s="262"/>
      <c r="T25" s="262"/>
      <c r="U25" s="262"/>
      <c r="V25" s="262"/>
      <c r="W25" s="262"/>
      <c r="X25" s="262"/>
      <c r="Y25" s="262"/>
      <c r="Z25" s="220"/>
      <c r="AA25" s="220"/>
      <c r="AB25" s="220"/>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row>
    <row r="26" spans="1:52" s="15" customFormat="1" ht="12.75" customHeight="1" x14ac:dyDescent="0.2">
      <c r="A26" s="212"/>
      <c r="B26" s="212"/>
      <c r="C26" s="212"/>
      <c r="D26" s="212"/>
      <c r="E26" s="212"/>
      <c r="F26" s="212"/>
      <c r="G26" s="240"/>
      <c r="H26" s="244"/>
      <c r="I26" s="243" t="s">
        <v>190</v>
      </c>
      <c r="J26" s="261"/>
      <c r="K26" s="258" t="s">
        <v>145</v>
      </c>
      <c r="L26" s="258" t="s">
        <v>296</v>
      </c>
      <c r="M26" s="260"/>
      <c r="N26" s="262"/>
      <c r="O26" s="262"/>
      <c r="P26" s="262"/>
      <c r="Q26" s="262"/>
      <c r="R26" s="262"/>
      <c r="S26" s="262"/>
      <c r="T26" s="262"/>
      <c r="U26" s="262"/>
      <c r="V26" s="262"/>
      <c r="W26" s="262"/>
      <c r="X26" s="262"/>
      <c r="Y26" s="262"/>
      <c r="Z26" s="220"/>
      <c r="AA26" s="220"/>
      <c r="AB26" s="220"/>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row>
    <row r="27" spans="1:52" s="15" customFormat="1" ht="12.75" customHeight="1" x14ac:dyDescent="0.2">
      <c r="A27" s="213" t="str">
        <f>IF($L$4=1,K26,L26)</f>
        <v>Laufzeit (in Minuten)</v>
      </c>
      <c r="B27" s="171"/>
      <c r="C27" s="231"/>
      <c r="D27" s="232" t="str">
        <f>IF($L$4=1,K28,L28)</f>
        <v>Aufnahmeformat</v>
      </c>
      <c r="E27" s="1135"/>
      <c r="F27" s="1135"/>
      <c r="G27" s="240"/>
      <c r="H27" s="245">
        <v>5</v>
      </c>
      <c r="I27" s="243" t="s">
        <v>193</v>
      </c>
      <c r="J27" s="263"/>
      <c r="K27" s="258" t="s">
        <v>146</v>
      </c>
      <c r="L27" s="258" t="s">
        <v>298</v>
      </c>
      <c r="M27" s="260"/>
      <c r="N27" s="262"/>
      <c r="O27" s="262"/>
      <c r="P27" s="262"/>
      <c r="Q27" s="262"/>
      <c r="R27" s="262"/>
      <c r="S27" s="262"/>
      <c r="T27" s="262"/>
      <c r="U27" s="262"/>
      <c r="V27" s="262"/>
      <c r="W27" s="262"/>
      <c r="X27" s="262"/>
      <c r="Y27" s="262"/>
      <c r="Z27" s="220"/>
      <c r="AA27" s="220"/>
      <c r="AB27" s="220"/>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row>
    <row r="28" spans="1:52" s="15" customFormat="1" ht="12.75" customHeight="1" x14ac:dyDescent="0.2">
      <c r="A28" s="213" t="str">
        <f>IF($L$4=1,K27,L27)</f>
        <v>Seitenverhältnis</v>
      </c>
      <c r="B28" s="172"/>
      <c r="C28" s="231"/>
      <c r="D28" s="232" t="str">
        <f>IF($L$4=1,K29,L29)</f>
        <v>Kopienformat</v>
      </c>
      <c r="E28" s="1135"/>
      <c r="F28" s="1135"/>
      <c r="G28" s="240"/>
      <c r="H28" s="245">
        <v>5</v>
      </c>
      <c r="I28" s="243" t="s">
        <v>191</v>
      </c>
      <c r="J28" s="263"/>
      <c r="K28" s="258" t="s">
        <v>187</v>
      </c>
      <c r="L28" s="258" t="s">
        <v>299</v>
      </c>
      <c r="M28" s="264"/>
      <c r="N28" s="265"/>
      <c r="O28" s="262"/>
      <c r="P28" s="266"/>
      <c r="Q28" s="262"/>
      <c r="R28" s="262"/>
      <c r="S28" s="262"/>
      <c r="T28" s="262"/>
      <c r="U28" s="262"/>
      <c r="V28" s="262"/>
      <c r="W28" s="262"/>
      <c r="X28" s="262"/>
      <c r="Y28" s="262"/>
      <c r="Z28" s="220"/>
      <c r="AA28" s="220"/>
      <c r="AB28" s="220"/>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row>
    <row r="29" spans="1:52" s="15" customFormat="1" ht="12.75" customHeight="1" x14ac:dyDescent="0.2">
      <c r="A29" s="215"/>
      <c r="B29" s="1136"/>
      <c r="C29" s="1137"/>
      <c r="D29" s="1137"/>
      <c r="E29" s="1137"/>
      <c r="F29" s="1137"/>
      <c r="G29" s="240"/>
      <c r="H29" s="244"/>
      <c r="I29" s="243" t="s">
        <v>194</v>
      </c>
      <c r="J29" s="251"/>
      <c r="K29" s="258" t="s">
        <v>188</v>
      </c>
      <c r="L29" s="258" t="s">
        <v>550</v>
      </c>
      <c r="M29" s="264"/>
      <c r="N29" s="265"/>
      <c r="O29" s="262"/>
      <c r="P29" s="262"/>
      <c r="Q29" s="262"/>
      <c r="R29" s="262"/>
      <c r="S29" s="262"/>
      <c r="T29" s="262"/>
      <c r="U29" s="262"/>
      <c r="V29" s="262"/>
      <c r="W29" s="262"/>
      <c r="X29" s="262"/>
      <c r="Y29" s="262"/>
      <c r="Z29" s="220"/>
      <c r="AA29" s="220"/>
      <c r="AB29" s="220"/>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row>
    <row r="30" spans="1:52" s="15" customFormat="1" ht="12.75" customHeight="1" x14ac:dyDescent="0.2">
      <c r="A30" s="215" t="s">
        <v>151</v>
      </c>
      <c r="B30" s="233"/>
      <c r="C30" s="233"/>
      <c r="D30" s="234"/>
      <c r="E30" s="234"/>
      <c r="F30" s="234"/>
      <c r="G30" s="240"/>
      <c r="H30" s="247"/>
      <c r="I30" s="243"/>
      <c r="J30" s="251"/>
      <c r="K30" s="258" t="s">
        <v>137</v>
      </c>
      <c r="L30" s="258" t="s">
        <v>300</v>
      </c>
      <c r="M30" s="267"/>
      <c r="N30" s="218"/>
      <c r="O30" s="262"/>
      <c r="P30" s="262"/>
      <c r="Q30" s="262"/>
      <c r="R30" s="262"/>
      <c r="S30" s="262"/>
      <c r="T30" s="262"/>
      <c r="U30" s="262"/>
      <c r="V30" s="262"/>
      <c r="W30" s="262"/>
      <c r="X30" s="262"/>
      <c r="Y30" s="262"/>
      <c r="Z30" s="220"/>
      <c r="AA30" s="220"/>
      <c r="AB30" s="220"/>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row>
    <row r="31" spans="1:52" s="8" customFormat="1" ht="12.75" customHeight="1" x14ac:dyDescent="0.2">
      <c r="A31" s="216"/>
      <c r="B31" s="235" t="str">
        <f>IF($L$4=1,K30,L30)</f>
        <v>Österreichische Produktion</v>
      </c>
      <c r="C31" s="218"/>
      <c r="D31" s="218"/>
      <c r="E31" s="234"/>
      <c r="F31" s="218"/>
      <c r="G31" s="246"/>
      <c r="H31" s="206" t="s">
        <v>952</v>
      </c>
      <c r="I31" s="248" t="b">
        <v>0</v>
      </c>
      <c r="J31" s="251"/>
      <c r="K31" s="258" t="s">
        <v>138</v>
      </c>
      <c r="L31" s="258" t="s">
        <v>311</v>
      </c>
      <c r="M31" s="267"/>
      <c r="N31" s="218"/>
      <c r="O31" s="265"/>
      <c r="P31" s="265"/>
      <c r="Q31" s="265"/>
      <c r="R31" s="265"/>
      <c r="S31" s="265"/>
      <c r="T31" s="265"/>
      <c r="U31" s="265"/>
      <c r="V31" s="265"/>
      <c r="W31" s="265"/>
      <c r="X31" s="265"/>
      <c r="Y31" s="265"/>
      <c r="Z31" s="220"/>
      <c r="AA31" s="220"/>
      <c r="AB31" s="220"/>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row>
    <row r="32" spans="1:52" s="8" customFormat="1" ht="12.75" customHeight="1" x14ac:dyDescent="0.2">
      <c r="A32" s="216"/>
      <c r="B32" s="235" t="str">
        <f>IF($L$4=1,K31,L31)</f>
        <v>Koproduktion / Kofinanzierung</v>
      </c>
      <c r="C32" s="218"/>
      <c r="D32" s="218"/>
      <c r="E32" s="234"/>
      <c r="F32" s="236"/>
      <c r="G32" s="246"/>
      <c r="H32" s="206" t="s">
        <v>951</v>
      </c>
      <c r="I32" s="248" t="b">
        <v>0</v>
      </c>
      <c r="J32" s="251"/>
      <c r="K32" s="258"/>
      <c r="L32" s="258"/>
      <c r="M32" s="267"/>
      <c r="N32" s="218"/>
      <c r="O32" s="265"/>
      <c r="P32" s="265"/>
      <c r="Q32" s="265"/>
      <c r="R32" s="265"/>
      <c r="S32" s="265"/>
      <c r="T32" s="265"/>
      <c r="U32" s="265"/>
      <c r="V32" s="265"/>
      <c r="W32" s="265"/>
      <c r="X32" s="265"/>
      <c r="Y32" s="265"/>
      <c r="Z32" s="220"/>
      <c r="AA32" s="220"/>
      <c r="AB32" s="220"/>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row>
    <row r="33" spans="1:52" s="16" customFormat="1" ht="12.75" customHeight="1" x14ac:dyDescent="0.2">
      <c r="A33" s="216"/>
      <c r="B33" s="236" t="str">
        <f>IF(I32=TRUE,"&lt;--- Ko-Partner einblenden ('+' anklicken)","")</f>
        <v/>
      </c>
      <c r="C33" s="218"/>
      <c r="D33" s="218"/>
      <c r="E33" s="234"/>
      <c r="F33" s="236"/>
      <c r="G33" s="218"/>
      <c r="H33" s="206"/>
      <c r="I33" s="248"/>
      <c r="J33" s="251"/>
      <c r="K33" s="258" t="s">
        <v>139</v>
      </c>
      <c r="L33" s="258" t="s">
        <v>321</v>
      </c>
      <c r="M33" s="267"/>
      <c r="N33" s="218"/>
      <c r="O33" s="218"/>
      <c r="P33" s="218"/>
      <c r="Q33" s="218"/>
      <c r="R33" s="218"/>
      <c r="S33" s="218"/>
      <c r="T33" s="218"/>
      <c r="U33" s="218"/>
      <c r="V33" s="218"/>
      <c r="W33" s="218"/>
      <c r="X33" s="218"/>
      <c r="Y33" s="218"/>
      <c r="Z33" s="220"/>
      <c r="AA33" s="220"/>
      <c r="AB33" s="220"/>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row>
    <row r="34" spans="1:52" s="16" customFormat="1" ht="12.75" hidden="1" customHeight="1" outlineLevel="1" x14ac:dyDescent="0.2">
      <c r="A34" s="217" t="str">
        <f>IF($L$4=1,K33,L33)</f>
        <v>Ko-Partner 1</v>
      </c>
      <c r="B34" s="1107" t="s">
        <v>268</v>
      </c>
      <c r="C34" s="1108"/>
      <c r="D34" s="1108"/>
      <c r="E34" s="1108"/>
      <c r="F34" s="1109"/>
      <c r="G34" s="218"/>
      <c r="H34" s="249"/>
      <c r="I34" s="250"/>
      <c r="J34" s="251"/>
      <c r="K34" s="258" t="s">
        <v>140</v>
      </c>
      <c r="L34" s="258" t="s">
        <v>322</v>
      </c>
      <c r="M34" s="267"/>
      <c r="N34" s="218"/>
      <c r="O34" s="218"/>
      <c r="P34" s="218"/>
      <c r="Q34" s="218"/>
      <c r="R34" s="218"/>
      <c r="S34" s="218"/>
      <c r="T34" s="218"/>
      <c r="U34" s="218"/>
      <c r="V34" s="218"/>
      <c r="W34" s="218"/>
      <c r="X34" s="218"/>
      <c r="Y34" s="218"/>
      <c r="Z34" s="220"/>
      <c r="AA34" s="220"/>
      <c r="AB34" s="220"/>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row>
    <row r="35" spans="1:52" s="16" customFormat="1" ht="12.75" hidden="1" customHeight="1" outlineLevel="1" x14ac:dyDescent="0.2">
      <c r="A35" s="217" t="str">
        <f>IF($L$4=1,K34,L34)</f>
        <v>Ko-Partner 2</v>
      </c>
      <c r="B35" s="1110" t="s">
        <v>269</v>
      </c>
      <c r="C35" s="1111"/>
      <c r="D35" s="1111"/>
      <c r="E35" s="1111"/>
      <c r="F35" s="1112"/>
      <c r="G35" s="218"/>
      <c r="H35" s="249"/>
      <c r="I35" s="250"/>
      <c r="J35" s="251"/>
      <c r="K35" s="258" t="s">
        <v>209</v>
      </c>
      <c r="L35" s="258" t="s">
        <v>323</v>
      </c>
      <c r="M35" s="267"/>
      <c r="N35" s="218"/>
      <c r="O35" s="218"/>
      <c r="P35" s="218"/>
      <c r="Q35" s="218"/>
      <c r="R35" s="218"/>
      <c r="S35" s="218"/>
      <c r="T35" s="218"/>
      <c r="U35" s="218"/>
      <c r="V35" s="218"/>
      <c r="W35" s="218"/>
      <c r="X35" s="218"/>
      <c r="Y35" s="218"/>
      <c r="Z35" s="220"/>
      <c r="AA35" s="220"/>
      <c r="AB35" s="220"/>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row>
    <row r="36" spans="1:52" s="16" customFormat="1" ht="12.75" hidden="1" customHeight="1" outlineLevel="1" x14ac:dyDescent="0.2">
      <c r="A36" s="217" t="str">
        <f>IF($L$4=1,K35,L35)</f>
        <v>Ko-Partner 3</v>
      </c>
      <c r="B36" s="1113" t="s">
        <v>270</v>
      </c>
      <c r="C36" s="1114"/>
      <c r="D36" s="1114"/>
      <c r="E36" s="1114"/>
      <c r="F36" s="1115"/>
      <c r="G36" s="218"/>
      <c r="H36" s="249"/>
      <c r="I36" s="250"/>
      <c r="J36" s="251"/>
      <c r="K36" s="258"/>
      <c r="L36" s="258"/>
      <c r="M36" s="267"/>
      <c r="N36" s="218"/>
      <c r="O36" s="218"/>
      <c r="P36" s="218"/>
      <c r="Q36" s="218"/>
      <c r="R36" s="218"/>
      <c r="S36" s="218"/>
      <c r="T36" s="218"/>
      <c r="U36" s="218"/>
      <c r="V36" s="218"/>
      <c r="W36" s="218"/>
      <c r="X36" s="218"/>
      <c r="Y36" s="218"/>
      <c r="Z36" s="220"/>
      <c r="AA36" s="220"/>
      <c r="AB36" s="220"/>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row>
    <row r="37" spans="1:52" s="16" customFormat="1" collapsed="1" x14ac:dyDescent="0.2">
      <c r="A37" s="218"/>
      <c r="B37" s="218"/>
      <c r="C37" s="218"/>
      <c r="D37" s="218"/>
      <c r="E37" s="218"/>
      <c r="F37" s="218"/>
      <c r="G37" s="218"/>
      <c r="H37" s="249"/>
      <c r="I37" s="250"/>
      <c r="J37" s="251"/>
      <c r="K37" s="258" t="s">
        <v>142</v>
      </c>
      <c r="L37" s="258" t="s">
        <v>318</v>
      </c>
      <c r="M37" s="267"/>
      <c r="N37" s="218"/>
      <c r="O37" s="218"/>
      <c r="P37" s="218"/>
      <c r="Q37" s="218"/>
      <c r="R37" s="218"/>
      <c r="S37" s="218"/>
      <c r="T37" s="218"/>
      <c r="U37" s="218"/>
      <c r="V37" s="218"/>
      <c r="W37" s="218"/>
      <c r="X37" s="218"/>
      <c r="Y37" s="218"/>
      <c r="Z37" s="220"/>
      <c r="AA37" s="220"/>
      <c r="AB37" s="220"/>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row>
    <row r="38" spans="1:52" s="16" customFormat="1" ht="25.5" x14ac:dyDescent="0.2">
      <c r="A38" s="219"/>
      <c r="B38" s="1120" t="str">
        <f>IF($L$4=1,K41,L41)</f>
        <v>TERMINPLAN</v>
      </c>
      <c r="C38" s="1121"/>
      <c r="D38" s="237"/>
      <c r="E38" s="238" t="str">
        <f>IF(L4=1,K49,L49)</f>
        <v>Drehorte</v>
      </c>
      <c r="F38" s="239" t="str">
        <f>IF($L$4=1,K50,L50)</f>
        <v>Drehtage</v>
      </c>
      <c r="G38" s="218"/>
      <c r="H38" s="206"/>
      <c r="I38" s="248"/>
      <c r="J38" s="251"/>
      <c r="K38" s="258" t="s">
        <v>141</v>
      </c>
      <c r="L38" s="258" t="s">
        <v>317</v>
      </c>
      <c r="M38" s="267"/>
      <c r="N38" s="218"/>
      <c r="O38" s="218"/>
      <c r="P38" s="218"/>
      <c r="Q38" s="218"/>
      <c r="R38" s="218"/>
      <c r="S38" s="218"/>
      <c r="T38" s="218"/>
      <c r="U38" s="218"/>
      <c r="V38" s="218"/>
      <c r="W38" s="218"/>
      <c r="X38" s="218"/>
      <c r="Y38" s="218"/>
      <c r="Z38" s="220"/>
      <c r="AA38" s="220"/>
      <c r="AB38" s="220"/>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row>
    <row r="39" spans="1:52" s="16" customFormat="1" ht="12" customHeight="1" x14ac:dyDescent="0.2">
      <c r="A39" s="213" t="str">
        <f t="shared" ref="A39:A44" si="2">IF($L$4=1,K42,L42)</f>
        <v>Produktionsbeginn</v>
      </c>
      <c r="B39" s="1118"/>
      <c r="C39" s="1119"/>
      <c r="D39" s="218"/>
      <c r="E39" s="173"/>
      <c r="F39" s="176"/>
      <c r="G39" s="218"/>
      <c r="H39" s="206"/>
      <c r="I39" s="248"/>
      <c r="J39" s="251"/>
      <c r="K39" s="258" t="s">
        <v>572</v>
      </c>
      <c r="L39" s="258" t="s">
        <v>316</v>
      </c>
      <c r="M39" s="267"/>
      <c r="N39" s="218"/>
      <c r="O39" s="218"/>
      <c r="P39" s="218"/>
      <c r="Q39" s="218"/>
      <c r="R39" s="218"/>
      <c r="S39" s="218"/>
      <c r="T39" s="218"/>
      <c r="U39" s="218"/>
      <c r="V39" s="218"/>
      <c r="W39" s="218"/>
      <c r="X39" s="218"/>
      <c r="Y39" s="218"/>
      <c r="Z39" s="220"/>
      <c r="AA39" s="220"/>
      <c r="AB39" s="220"/>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row>
    <row r="40" spans="1:52" s="16" customFormat="1" ht="12.75" customHeight="1" x14ac:dyDescent="0.2">
      <c r="A40" s="213" t="str">
        <f t="shared" si="2"/>
        <v>Drehbeginn</v>
      </c>
      <c r="B40" s="1116"/>
      <c r="C40" s="1117"/>
      <c r="D40" s="218"/>
      <c r="E40" s="173"/>
      <c r="F40" s="176"/>
      <c r="G40" s="218"/>
      <c r="H40" s="206"/>
      <c r="I40" s="248"/>
      <c r="J40" s="251"/>
      <c r="K40" s="258"/>
      <c r="L40" s="258"/>
      <c r="M40" s="267"/>
      <c r="N40" s="218"/>
      <c r="O40" s="218"/>
      <c r="P40" s="218"/>
      <c r="Q40" s="218"/>
      <c r="R40" s="218"/>
      <c r="S40" s="218"/>
      <c r="T40" s="218"/>
      <c r="U40" s="218"/>
      <c r="V40" s="218"/>
      <c r="W40" s="218"/>
      <c r="X40" s="218"/>
      <c r="Y40" s="218"/>
      <c r="Z40" s="220"/>
      <c r="AA40" s="220"/>
      <c r="AB40" s="220"/>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row>
    <row r="41" spans="1:52" s="16" customFormat="1" ht="12.75" customHeight="1" x14ac:dyDescent="0.2">
      <c r="A41" s="213" t="str">
        <f t="shared" si="2"/>
        <v>Drehmitte</v>
      </c>
      <c r="B41" s="1116"/>
      <c r="C41" s="1117"/>
      <c r="D41" s="218"/>
      <c r="E41" s="173"/>
      <c r="F41" s="176"/>
      <c r="G41" s="218"/>
      <c r="H41" s="206"/>
      <c r="I41" s="248"/>
      <c r="J41" s="251"/>
      <c r="K41" s="268" t="s">
        <v>186</v>
      </c>
      <c r="L41" s="268" t="s">
        <v>313</v>
      </c>
      <c r="M41" s="267"/>
      <c r="N41" s="218"/>
      <c r="O41" s="218"/>
      <c r="P41" s="218"/>
      <c r="Q41" s="218"/>
      <c r="R41" s="218"/>
      <c r="S41" s="218"/>
      <c r="T41" s="218"/>
      <c r="U41" s="218"/>
      <c r="V41" s="218"/>
      <c r="W41" s="218"/>
      <c r="X41" s="218"/>
      <c r="Y41" s="218"/>
      <c r="Z41" s="220"/>
      <c r="AA41" s="220"/>
      <c r="AB41" s="220"/>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row>
    <row r="42" spans="1:52" s="16" customFormat="1" ht="12.75" customHeight="1" x14ac:dyDescent="0.2">
      <c r="A42" s="213" t="str">
        <f t="shared" si="2"/>
        <v>Drehende</v>
      </c>
      <c r="B42" s="1116"/>
      <c r="C42" s="1117"/>
      <c r="D42" s="218"/>
      <c r="E42" s="173"/>
      <c r="F42" s="176"/>
      <c r="G42" s="218"/>
      <c r="H42" s="206"/>
      <c r="I42" s="248"/>
      <c r="J42" s="251"/>
      <c r="K42" s="258" t="s">
        <v>259</v>
      </c>
      <c r="L42" s="258" t="s">
        <v>302</v>
      </c>
      <c r="M42" s="267"/>
      <c r="N42" s="218"/>
      <c r="O42" s="218"/>
      <c r="P42" s="218"/>
      <c r="Q42" s="218"/>
      <c r="R42" s="218"/>
      <c r="S42" s="218"/>
      <c r="T42" s="218"/>
      <c r="U42" s="218"/>
      <c r="V42" s="218"/>
      <c r="W42" s="218"/>
      <c r="X42" s="218"/>
      <c r="Y42" s="218"/>
      <c r="Z42" s="220"/>
      <c r="AA42" s="220"/>
      <c r="AB42" s="220"/>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row>
    <row r="43" spans="1:52" s="16" customFormat="1" ht="12.75" customHeight="1" x14ac:dyDescent="0.2">
      <c r="A43" s="213" t="str">
        <f t="shared" si="2"/>
        <v>Rohschnittvorführung</v>
      </c>
      <c r="B43" s="1116"/>
      <c r="C43" s="1117"/>
      <c r="D43" s="218"/>
      <c r="E43" s="174"/>
      <c r="F43" s="177"/>
      <c r="G43" s="218"/>
      <c r="H43" s="206"/>
      <c r="I43" s="248"/>
      <c r="J43" s="251"/>
      <c r="K43" s="258" t="s">
        <v>178</v>
      </c>
      <c r="L43" s="258" t="s">
        <v>303</v>
      </c>
      <c r="M43" s="267"/>
      <c r="N43" s="218"/>
      <c r="O43" s="218"/>
      <c r="P43" s="218"/>
      <c r="Q43" s="218"/>
      <c r="R43" s="218"/>
      <c r="S43" s="218"/>
      <c r="T43" s="218"/>
      <c r="U43" s="218"/>
      <c r="V43" s="218"/>
      <c r="W43" s="218"/>
      <c r="X43" s="218"/>
      <c r="Y43" s="218"/>
      <c r="Z43" s="220"/>
      <c r="AA43" s="220"/>
      <c r="AB43" s="220"/>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row>
    <row r="44" spans="1:52" s="16" customFormat="1" ht="12.75" customHeight="1" x14ac:dyDescent="0.2">
      <c r="A44" s="213" t="str">
        <f t="shared" si="2"/>
        <v>Fertigstellung</v>
      </c>
      <c r="B44" s="1105"/>
      <c r="C44" s="1106"/>
      <c r="D44" s="218"/>
      <c r="E44" s="174"/>
      <c r="F44" s="177"/>
      <c r="G44" s="218"/>
      <c r="H44" s="251"/>
      <c r="I44" s="252"/>
      <c r="J44" s="251"/>
      <c r="K44" s="258" t="s">
        <v>179</v>
      </c>
      <c r="L44" s="258" t="s">
        <v>304</v>
      </c>
      <c r="M44" s="267"/>
      <c r="N44" s="218"/>
      <c r="O44" s="218"/>
      <c r="P44" s="218"/>
      <c r="Q44" s="218"/>
      <c r="R44" s="218"/>
      <c r="S44" s="218"/>
      <c r="T44" s="218"/>
      <c r="U44" s="218"/>
      <c r="V44" s="218"/>
      <c r="W44" s="218"/>
      <c r="X44" s="218"/>
      <c r="Y44" s="218"/>
      <c r="Z44" s="220"/>
      <c r="AA44" s="220"/>
      <c r="AB44" s="220"/>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row>
    <row r="45" spans="1:52" s="16" customFormat="1" ht="12.75" customHeight="1" x14ac:dyDescent="0.2">
      <c r="A45" s="218"/>
      <c r="B45" s="218"/>
      <c r="C45" s="218"/>
      <c r="D45" s="218"/>
      <c r="E45" s="174"/>
      <c r="F45" s="177"/>
      <c r="G45" s="218"/>
      <c r="H45" s="251"/>
      <c r="I45" s="252"/>
      <c r="J45" s="251"/>
      <c r="K45" s="258" t="s">
        <v>180</v>
      </c>
      <c r="L45" s="258" t="s">
        <v>305</v>
      </c>
      <c r="M45" s="267"/>
      <c r="N45" s="218"/>
      <c r="O45" s="218"/>
      <c r="P45" s="218"/>
      <c r="Q45" s="218"/>
      <c r="R45" s="218"/>
      <c r="S45" s="218"/>
      <c r="T45" s="218"/>
      <c r="U45" s="218"/>
      <c r="V45" s="218"/>
      <c r="W45" s="218"/>
      <c r="X45" s="218"/>
      <c r="Y45" s="218"/>
      <c r="Z45" s="220"/>
      <c r="AA45" s="220"/>
      <c r="AB45" s="220"/>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row>
    <row r="46" spans="1:52" s="16" customFormat="1" ht="12.75" customHeight="1" x14ac:dyDescent="0.2">
      <c r="A46" s="218"/>
      <c r="B46" s="218"/>
      <c r="C46" s="218"/>
      <c r="D46" s="218"/>
      <c r="E46" s="175"/>
      <c r="F46" s="178"/>
      <c r="G46" s="218"/>
      <c r="H46" s="251"/>
      <c r="I46" s="252"/>
      <c r="J46" s="251"/>
      <c r="K46" s="258" t="s">
        <v>182</v>
      </c>
      <c r="L46" s="258" t="s">
        <v>306</v>
      </c>
      <c r="M46" s="267"/>
      <c r="N46" s="218"/>
      <c r="O46" s="218"/>
      <c r="P46" s="218"/>
      <c r="Q46" s="218"/>
      <c r="R46" s="218"/>
      <c r="S46" s="218"/>
      <c r="T46" s="218"/>
      <c r="U46" s="218"/>
      <c r="V46" s="218"/>
      <c r="W46" s="218"/>
      <c r="X46" s="218"/>
      <c r="Y46" s="218"/>
      <c r="Z46" s="220"/>
      <c r="AA46" s="220"/>
      <c r="AB46" s="220"/>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row>
    <row r="47" spans="1:52" s="16" customFormat="1" ht="12.75" customHeight="1" x14ac:dyDescent="0.2">
      <c r="A47" s="218"/>
      <c r="B47" s="218"/>
      <c r="C47" s="218"/>
      <c r="D47" s="218"/>
      <c r="E47" s="253" t="str">
        <f>IF(L4=1,K51,L51)</f>
        <v>Σ-Drehtage</v>
      </c>
      <c r="F47" s="254">
        <f>SUM(F39:F46)</f>
        <v>0</v>
      </c>
      <c r="G47" s="218"/>
      <c r="H47" s="251"/>
      <c r="I47" s="252"/>
      <c r="J47" s="251"/>
      <c r="K47" s="258" t="s">
        <v>181</v>
      </c>
      <c r="L47" s="258" t="s">
        <v>307</v>
      </c>
      <c r="M47" s="267"/>
      <c r="N47" s="218"/>
      <c r="O47" s="218"/>
      <c r="P47" s="218"/>
      <c r="Q47" s="218"/>
      <c r="R47" s="218"/>
      <c r="S47" s="218"/>
      <c r="T47" s="218"/>
      <c r="U47" s="218"/>
      <c r="V47" s="218"/>
      <c r="W47" s="218"/>
      <c r="X47" s="218"/>
      <c r="Y47" s="218"/>
      <c r="Z47" s="220"/>
      <c r="AA47" s="220"/>
      <c r="AB47" s="220"/>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row>
    <row r="48" spans="1:52" s="16" customFormat="1" ht="12.75" customHeight="1" x14ac:dyDescent="0.2">
      <c r="A48" s="218"/>
      <c r="B48" s="218"/>
      <c r="C48" s="218"/>
      <c r="D48" s="218"/>
      <c r="E48" s="218"/>
      <c r="F48" s="218"/>
      <c r="G48" s="218"/>
      <c r="H48" s="251"/>
      <c r="I48" s="251"/>
      <c r="J48" s="251"/>
      <c r="K48" s="258"/>
      <c r="L48" s="258"/>
      <c r="M48" s="267"/>
      <c r="N48" s="218"/>
      <c r="O48" s="218"/>
      <c r="P48" s="218"/>
      <c r="Q48" s="218"/>
      <c r="R48" s="218"/>
      <c r="S48" s="218"/>
      <c r="T48" s="218"/>
      <c r="U48" s="218"/>
      <c r="V48" s="218"/>
      <c r="W48" s="218"/>
      <c r="X48" s="218"/>
      <c r="Y48" s="218"/>
      <c r="Z48" s="220"/>
      <c r="AA48" s="220"/>
      <c r="AB48" s="220"/>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row>
    <row r="49" spans="1:52" s="16" customFormat="1" ht="12.75" customHeight="1" x14ac:dyDescent="0.2">
      <c r="A49" s="220"/>
      <c r="B49" s="220"/>
      <c r="C49" s="220"/>
      <c r="D49" s="220"/>
      <c r="E49" s="218"/>
      <c r="F49" s="218"/>
      <c r="G49" s="218"/>
      <c r="H49" s="251"/>
      <c r="I49" s="251"/>
      <c r="J49" s="251"/>
      <c r="K49" s="258" t="s">
        <v>320</v>
      </c>
      <c r="L49" s="258" t="s">
        <v>312</v>
      </c>
      <c r="M49" s="267"/>
      <c r="N49" s="218"/>
      <c r="O49" s="218"/>
      <c r="P49" s="218"/>
      <c r="Q49" s="218"/>
      <c r="R49" s="218"/>
      <c r="S49" s="218"/>
      <c r="T49" s="218"/>
      <c r="U49" s="218"/>
      <c r="V49" s="218"/>
      <c r="W49" s="218"/>
      <c r="X49" s="218"/>
      <c r="Y49" s="218"/>
      <c r="Z49" s="220"/>
      <c r="AA49" s="220"/>
      <c r="AB49" s="220"/>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row>
    <row r="50" spans="1:52" s="16" customFormat="1" ht="12.75" customHeight="1" x14ac:dyDescent="0.2">
      <c r="A50" s="220"/>
      <c r="B50" s="220"/>
      <c r="C50" s="220"/>
      <c r="D50" s="220"/>
      <c r="E50" s="218"/>
      <c r="F50" s="218"/>
      <c r="G50" s="218"/>
      <c r="H50" s="251"/>
      <c r="I50" s="251"/>
      <c r="J50" s="251"/>
      <c r="K50" s="258" t="s">
        <v>207</v>
      </c>
      <c r="L50" s="258" t="s">
        <v>319</v>
      </c>
      <c r="M50" s="267"/>
      <c r="N50" s="218"/>
      <c r="O50" s="218"/>
      <c r="P50" s="218"/>
      <c r="Q50" s="218"/>
      <c r="R50" s="218"/>
      <c r="S50" s="218"/>
      <c r="T50" s="218"/>
      <c r="U50" s="218"/>
      <c r="V50" s="218"/>
      <c r="W50" s="218"/>
      <c r="X50" s="218"/>
      <c r="Y50" s="218"/>
      <c r="Z50" s="220"/>
      <c r="AA50" s="220"/>
      <c r="AB50" s="220"/>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row>
    <row r="51" spans="1:52" s="16" customFormat="1" ht="12.75" customHeight="1" x14ac:dyDescent="0.2">
      <c r="A51" s="220"/>
      <c r="B51" s="220"/>
      <c r="C51" s="220"/>
      <c r="D51" s="220"/>
      <c r="E51" s="218"/>
      <c r="F51" s="218"/>
      <c r="G51" s="218"/>
      <c r="H51" s="251"/>
      <c r="I51" s="251"/>
      <c r="J51" s="251"/>
      <c r="K51" s="268" t="s">
        <v>208</v>
      </c>
      <c r="L51" s="258" t="s">
        <v>314</v>
      </c>
      <c r="M51" s="267"/>
      <c r="N51" s="218"/>
      <c r="O51" s="218"/>
      <c r="P51" s="218"/>
      <c r="Q51" s="218"/>
      <c r="R51" s="218"/>
      <c r="S51" s="218"/>
      <c r="T51" s="218"/>
      <c r="U51" s="218"/>
      <c r="V51" s="218"/>
      <c r="W51" s="218"/>
      <c r="X51" s="218"/>
      <c r="Y51" s="218"/>
      <c r="Z51" s="220"/>
      <c r="AA51" s="220"/>
      <c r="AB51" s="220"/>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row>
    <row r="52" spans="1:52" s="16" customFormat="1" ht="12.75" customHeight="1" x14ac:dyDescent="0.2">
      <c r="A52" s="220"/>
      <c r="B52" s="220"/>
      <c r="C52" s="220"/>
      <c r="D52" s="220"/>
      <c r="E52" s="220"/>
      <c r="F52" s="220"/>
      <c r="G52" s="218"/>
      <c r="H52" s="251"/>
      <c r="I52" s="251"/>
      <c r="J52" s="218"/>
      <c r="K52" s="256"/>
      <c r="L52" s="256"/>
      <c r="M52" s="267"/>
      <c r="N52" s="218"/>
      <c r="O52" s="218"/>
      <c r="P52" s="218"/>
      <c r="Q52" s="218"/>
      <c r="R52" s="218"/>
      <c r="S52" s="218"/>
      <c r="T52" s="218"/>
      <c r="U52" s="218"/>
      <c r="V52" s="218"/>
      <c r="W52" s="218"/>
      <c r="X52" s="218"/>
      <c r="Y52" s="218"/>
      <c r="Z52" s="220"/>
      <c r="AA52" s="220"/>
      <c r="AB52" s="220"/>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row>
    <row r="53" spans="1:52" s="16" customFormat="1" ht="12.75" customHeight="1" x14ac:dyDescent="0.2">
      <c r="A53" s="220"/>
      <c r="B53" s="220"/>
      <c r="C53" s="220"/>
      <c r="D53" s="220"/>
      <c r="E53" s="220"/>
      <c r="F53" s="220"/>
      <c r="G53" s="218"/>
      <c r="H53" s="251"/>
      <c r="I53" s="251"/>
      <c r="J53" s="218"/>
      <c r="K53" s="256"/>
      <c r="L53" s="256"/>
      <c r="M53" s="267"/>
      <c r="N53" s="218"/>
      <c r="O53" s="218"/>
      <c r="P53" s="218"/>
      <c r="Q53" s="218"/>
      <c r="R53" s="218"/>
      <c r="S53" s="218"/>
      <c r="T53" s="218"/>
      <c r="U53" s="218"/>
      <c r="V53" s="218"/>
      <c r="W53" s="218"/>
      <c r="X53" s="218"/>
      <c r="Y53" s="218"/>
      <c r="Z53" s="220"/>
      <c r="AA53" s="220"/>
      <c r="AB53" s="220"/>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row>
    <row r="54" spans="1:52" s="16" customFormat="1" ht="12.75" customHeight="1" x14ac:dyDescent="0.2">
      <c r="A54" s="220"/>
      <c r="B54" s="220"/>
      <c r="C54" s="220"/>
      <c r="D54" s="220"/>
      <c r="E54" s="220"/>
      <c r="F54" s="220"/>
      <c r="G54" s="218"/>
      <c r="H54" s="218"/>
      <c r="I54" s="218"/>
      <c r="J54" s="218"/>
      <c r="K54" s="256"/>
      <c r="L54" s="256"/>
      <c r="M54" s="267"/>
      <c r="N54" s="218"/>
      <c r="O54" s="218"/>
      <c r="P54" s="218"/>
      <c r="Q54" s="218"/>
      <c r="R54" s="218"/>
      <c r="S54" s="218"/>
      <c r="T54" s="218"/>
      <c r="U54" s="218"/>
      <c r="V54" s="218"/>
      <c r="W54" s="218"/>
      <c r="X54" s="218"/>
      <c r="Y54" s="218"/>
      <c r="Z54" s="220"/>
      <c r="AA54" s="220"/>
      <c r="AB54" s="220"/>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row>
    <row r="55" spans="1:52" s="16" customFormat="1" ht="12.75" customHeight="1" x14ac:dyDescent="0.2">
      <c r="A55" s="220"/>
      <c r="B55" s="220"/>
      <c r="C55" s="220"/>
      <c r="D55" s="220"/>
      <c r="E55" s="220"/>
      <c r="F55" s="220"/>
      <c r="G55" s="218"/>
      <c r="H55" s="218"/>
      <c r="I55" s="218"/>
      <c r="J55" s="220"/>
      <c r="K55" s="256"/>
      <c r="L55" s="256"/>
      <c r="M55" s="220"/>
      <c r="N55" s="218"/>
      <c r="O55" s="218"/>
      <c r="P55" s="218"/>
      <c r="Q55" s="218"/>
      <c r="R55" s="218"/>
      <c r="S55" s="218"/>
      <c r="T55" s="218"/>
      <c r="U55" s="218"/>
      <c r="V55" s="218"/>
      <c r="W55" s="218"/>
      <c r="X55" s="218"/>
      <c r="Y55" s="218"/>
      <c r="Z55" s="220"/>
      <c r="AA55" s="220"/>
      <c r="AB55" s="220"/>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row>
    <row r="56" spans="1:52" s="16" customFormat="1" ht="12.75" customHeight="1" x14ac:dyDescent="0.2">
      <c r="A56" s="220"/>
      <c r="B56" s="220"/>
      <c r="C56" s="220"/>
      <c r="D56" s="220"/>
      <c r="E56" s="220"/>
      <c r="F56" s="220"/>
      <c r="G56" s="220"/>
      <c r="H56" s="218"/>
      <c r="I56" s="218"/>
      <c r="J56" s="220"/>
      <c r="K56" s="256"/>
      <c r="L56" s="256"/>
      <c r="M56" s="220"/>
      <c r="N56" s="220"/>
      <c r="O56" s="218"/>
      <c r="P56" s="218"/>
      <c r="Q56" s="218"/>
      <c r="R56" s="218"/>
      <c r="S56" s="218"/>
      <c r="T56" s="218"/>
      <c r="U56" s="218"/>
      <c r="V56" s="218"/>
      <c r="W56" s="218"/>
      <c r="X56" s="218"/>
      <c r="Y56" s="218"/>
      <c r="Z56" s="220"/>
      <c r="AA56" s="220"/>
      <c r="AB56" s="220"/>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row>
    <row r="57" spans="1:52" s="16" customFormat="1" ht="12.75" customHeight="1" x14ac:dyDescent="0.2">
      <c r="A57" s="220"/>
      <c r="B57" s="220"/>
      <c r="C57" s="220"/>
      <c r="D57" s="220"/>
      <c r="E57" s="220"/>
      <c r="F57" s="220"/>
      <c r="G57" s="220"/>
      <c r="H57" s="220"/>
      <c r="I57" s="220"/>
      <c r="J57" s="220"/>
      <c r="K57" s="256"/>
      <c r="L57" s="256"/>
      <c r="M57" s="220"/>
      <c r="N57" s="220"/>
      <c r="O57" s="218"/>
      <c r="P57" s="218"/>
      <c r="Q57" s="218"/>
      <c r="R57" s="218"/>
      <c r="S57" s="218"/>
      <c r="T57" s="218"/>
      <c r="U57" s="218"/>
      <c r="V57" s="218"/>
      <c r="W57" s="218"/>
      <c r="X57" s="218"/>
      <c r="Y57" s="218"/>
      <c r="Z57" s="220"/>
      <c r="AA57" s="220"/>
      <c r="AB57" s="220"/>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row>
    <row r="58" spans="1:52" s="16" customFormat="1" ht="12.75" customHeight="1" x14ac:dyDescent="0.2">
      <c r="A58" s="220"/>
      <c r="B58" s="220"/>
      <c r="C58" s="220"/>
      <c r="D58" s="220"/>
      <c r="E58" s="220"/>
      <c r="F58" s="220"/>
      <c r="G58" s="220"/>
      <c r="H58" s="220"/>
      <c r="I58" s="220"/>
      <c r="J58" s="220"/>
      <c r="K58" s="256"/>
      <c r="L58" s="256"/>
      <c r="M58" s="220"/>
      <c r="N58" s="220"/>
      <c r="O58" s="218"/>
      <c r="P58" s="218"/>
      <c r="Q58" s="218"/>
      <c r="R58" s="218"/>
      <c r="S58" s="218"/>
      <c r="T58" s="218"/>
      <c r="U58" s="218"/>
      <c r="V58" s="218"/>
      <c r="W58" s="218"/>
      <c r="X58" s="218"/>
      <c r="Y58" s="218"/>
      <c r="Z58" s="220"/>
      <c r="AA58" s="220"/>
      <c r="AB58" s="220"/>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row>
    <row r="59" spans="1:52" x14ac:dyDescent="0.2">
      <c r="A59" s="220"/>
      <c r="B59" s="220"/>
      <c r="C59" s="220"/>
      <c r="D59" s="220"/>
      <c r="E59" s="220"/>
      <c r="F59" s="220"/>
      <c r="G59" s="220"/>
      <c r="H59" s="220"/>
      <c r="I59" s="220"/>
      <c r="J59" s="220"/>
      <c r="K59" s="256"/>
      <c r="L59" s="256"/>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row>
    <row r="60" spans="1:52" x14ac:dyDescent="0.2">
      <c r="A60" s="220"/>
      <c r="B60" s="220"/>
      <c r="C60" s="220"/>
      <c r="D60" s="220"/>
      <c r="E60" s="220"/>
      <c r="F60" s="220"/>
      <c r="G60" s="220"/>
      <c r="H60" s="220"/>
      <c r="I60" s="220"/>
      <c r="J60" s="220"/>
      <c r="K60" s="256"/>
      <c r="L60" s="256"/>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row>
    <row r="61" spans="1:52" x14ac:dyDescent="0.2">
      <c r="A61" s="220"/>
      <c r="B61" s="220"/>
      <c r="C61" s="220"/>
      <c r="D61" s="220"/>
      <c r="E61" s="220"/>
      <c r="F61" s="220"/>
      <c r="G61" s="220"/>
      <c r="H61" s="220"/>
      <c r="I61" s="220"/>
      <c r="J61" s="220"/>
      <c r="K61" s="256"/>
      <c r="L61" s="256"/>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row>
    <row r="62" spans="1:52" x14ac:dyDescent="0.2">
      <c r="A62" s="220"/>
      <c r="B62" s="220"/>
      <c r="C62" s="220"/>
      <c r="D62" s="220"/>
      <c r="E62" s="220"/>
      <c r="F62" s="220"/>
      <c r="G62" s="220"/>
      <c r="H62" s="220"/>
      <c r="I62" s="220"/>
      <c r="J62" s="220"/>
      <c r="K62" s="256"/>
      <c r="L62" s="256"/>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row>
    <row r="63" spans="1:52" x14ac:dyDescent="0.2">
      <c r="A63" s="220"/>
      <c r="B63" s="220"/>
      <c r="C63" s="220"/>
      <c r="D63" s="220"/>
      <c r="E63" s="220"/>
      <c r="F63" s="220"/>
      <c r="G63" s="220"/>
      <c r="H63" s="220"/>
      <c r="I63" s="220"/>
      <c r="J63" s="220"/>
      <c r="K63" s="256"/>
      <c r="L63" s="256"/>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row>
    <row r="64" spans="1:52" x14ac:dyDescent="0.2">
      <c r="A64" s="220"/>
      <c r="B64" s="220"/>
      <c r="C64" s="220"/>
      <c r="D64" s="220"/>
      <c r="E64" s="220"/>
      <c r="F64" s="220"/>
      <c r="G64" s="220"/>
      <c r="H64" s="220"/>
      <c r="I64" s="220"/>
      <c r="J64" s="220"/>
      <c r="K64" s="256"/>
      <c r="L64" s="256"/>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row>
    <row r="65" spans="1:52" x14ac:dyDescent="0.2">
      <c r="A65" s="220"/>
      <c r="B65" s="220"/>
      <c r="C65" s="220"/>
      <c r="D65" s="220"/>
      <c r="E65" s="220"/>
      <c r="F65" s="220"/>
      <c r="G65" s="220"/>
      <c r="H65" s="220"/>
      <c r="I65" s="220"/>
      <c r="J65" s="220"/>
      <c r="K65" s="256"/>
      <c r="L65" s="256"/>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row>
    <row r="66" spans="1:52" x14ac:dyDescent="0.2">
      <c r="A66" s="220"/>
      <c r="B66" s="220"/>
      <c r="C66" s="220"/>
      <c r="D66" s="220"/>
      <c r="E66" s="220"/>
      <c r="F66" s="220"/>
      <c r="G66" s="220"/>
      <c r="H66" s="220"/>
      <c r="I66" s="220"/>
      <c r="J66" s="220"/>
      <c r="K66" s="256"/>
      <c r="L66" s="256"/>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row>
    <row r="67" spans="1:52" x14ac:dyDescent="0.2">
      <c r="A67" s="220"/>
      <c r="B67" s="220"/>
      <c r="C67" s="220"/>
      <c r="D67" s="220"/>
      <c r="E67" s="220"/>
      <c r="F67" s="220"/>
      <c r="G67" s="220"/>
      <c r="H67" s="220"/>
      <c r="I67" s="220"/>
      <c r="J67" s="220"/>
      <c r="K67" s="256"/>
      <c r="L67" s="256"/>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row>
    <row r="68" spans="1:52" x14ac:dyDescent="0.2">
      <c r="A68" s="220"/>
      <c r="B68" s="220"/>
      <c r="C68" s="220"/>
      <c r="D68" s="220"/>
      <c r="E68" s="220"/>
      <c r="F68" s="220"/>
      <c r="G68" s="220"/>
      <c r="H68" s="220"/>
      <c r="I68" s="220"/>
      <c r="J68" s="220"/>
      <c r="K68" s="256"/>
      <c r="L68" s="256"/>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row>
    <row r="69" spans="1:52" x14ac:dyDescent="0.2">
      <c r="A69" s="220"/>
      <c r="B69" s="220"/>
      <c r="C69" s="220"/>
      <c r="D69" s="220"/>
      <c r="E69" s="220"/>
      <c r="F69" s="220"/>
      <c r="G69" s="220"/>
      <c r="H69" s="220"/>
      <c r="I69" s="220"/>
      <c r="J69" s="220"/>
      <c r="K69" s="256"/>
      <c r="L69" s="256"/>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row>
    <row r="70" spans="1:52" x14ac:dyDescent="0.2">
      <c r="A70" s="220"/>
      <c r="B70" s="220"/>
      <c r="C70" s="220"/>
      <c r="D70" s="220"/>
      <c r="E70" s="220"/>
      <c r="F70" s="220"/>
      <c r="G70" s="220"/>
      <c r="H70" s="220"/>
      <c r="I70" s="220"/>
      <c r="J70" s="220"/>
      <c r="K70" s="256"/>
      <c r="L70" s="256"/>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row>
    <row r="71" spans="1:52" x14ac:dyDescent="0.2">
      <c r="A71" s="220"/>
      <c r="B71" s="220"/>
      <c r="C71" s="220"/>
      <c r="D71" s="220"/>
      <c r="E71" s="220"/>
      <c r="F71" s="220"/>
      <c r="G71" s="220"/>
      <c r="H71" s="220"/>
      <c r="I71" s="220"/>
      <c r="J71" s="220"/>
      <c r="K71" s="256"/>
      <c r="L71" s="256"/>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row>
    <row r="72" spans="1:52" x14ac:dyDescent="0.2">
      <c r="A72" s="220"/>
      <c r="B72" s="220"/>
      <c r="C72" s="220"/>
      <c r="D72" s="220"/>
      <c r="E72" s="220"/>
      <c r="F72" s="220"/>
      <c r="G72" s="220"/>
      <c r="H72" s="220"/>
      <c r="I72" s="220"/>
      <c r="J72" s="220"/>
      <c r="K72" s="256"/>
      <c r="L72" s="256"/>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row>
    <row r="73" spans="1:52" x14ac:dyDescent="0.2">
      <c r="A73" s="220"/>
      <c r="B73" s="220"/>
      <c r="C73" s="220"/>
      <c r="D73" s="220"/>
      <c r="E73" s="220"/>
      <c r="F73" s="220"/>
      <c r="G73" s="220"/>
      <c r="H73" s="220"/>
      <c r="I73" s="220"/>
      <c r="J73" s="220"/>
      <c r="K73" s="256"/>
      <c r="L73" s="256"/>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row>
    <row r="74" spans="1:52" x14ac:dyDescent="0.2">
      <c r="A74" s="220"/>
      <c r="B74" s="220"/>
      <c r="C74" s="220"/>
      <c r="D74" s="220"/>
      <c r="E74" s="220"/>
      <c r="F74" s="220"/>
      <c r="G74" s="220"/>
      <c r="H74" s="220"/>
      <c r="I74" s="220"/>
      <c r="J74" s="220"/>
      <c r="K74" s="256"/>
      <c r="L74" s="256"/>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row>
    <row r="75" spans="1:52" x14ac:dyDescent="0.2">
      <c r="A75" s="220"/>
      <c r="B75" s="220"/>
      <c r="C75" s="220"/>
      <c r="D75" s="220"/>
      <c r="E75" s="220"/>
      <c r="F75" s="220"/>
      <c r="G75" s="220"/>
      <c r="H75" s="220"/>
      <c r="I75" s="220"/>
      <c r="J75" s="220"/>
      <c r="K75" s="256"/>
      <c r="L75" s="256"/>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row>
    <row r="76" spans="1:52" x14ac:dyDescent="0.2">
      <c r="A76" s="220"/>
      <c r="B76" s="220"/>
      <c r="C76" s="220"/>
      <c r="D76" s="220"/>
      <c r="E76" s="220"/>
      <c r="F76" s="220"/>
      <c r="G76" s="220"/>
      <c r="H76" s="220"/>
      <c r="I76" s="220"/>
      <c r="J76" s="220"/>
      <c r="K76" s="256"/>
      <c r="L76" s="256"/>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row>
    <row r="77" spans="1:52" x14ac:dyDescent="0.2">
      <c r="A77" s="220"/>
      <c r="B77" s="220"/>
      <c r="C77" s="220"/>
      <c r="D77" s="220"/>
      <c r="E77" s="220"/>
      <c r="F77" s="220"/>
      <c r="G77" s="220"/>
      <c r="H77" s="220"/>
      <c r="I77" s="220"/>
      <c r="J77" s="220"/>
      <c r="K77" s="256"/>
      <c r="L77" s="256"/>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row>
    <row r="78" spans="1:52" x14ac:dyDescent="0.2">
      <c r="A78" s="220"/>
      <c r="B78" s="220"/>
      <c r="C78" s="220"/>
      <c r="D78" s="220"/>
      <c r="E78" s="220"/>
      <c r="F78" s="220"/>
      <c r="G78" s="220"/>
      <c r="H78" s="220"/>
      <c r="I78" s="220"/>
      <c r="J78" s="220"/>
      <c r="K78" s="256"/>
      <c r="L78" s="256"/>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row>
    <row r="79" spans="1:52" x14ac:dyDescent="0.2">
      <c r="A79" s="220"/>
      <c r="B79" s="220"/>
      <c r="C79" s="220"/>
      <c r="D79" s="220"/>
      <c r="E79" s="220"/>
      <c r="F79" s="220"/>
      <c r="G79" s="220"/>
      <c r="H79" s="220"/>
      <c r="I79" s="220"/>
      <c r="J79" s="220"/>
      <c r="K79" s="256"/>
      <c r="L79" s="256"/>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row>
    <row r="80" spans="1:52" x14ac:dyDescent="0.2">
      <c r="A80" s="220"/>
      <c r="B80" s="220"/>
      <c r="C80" s="220"/>
      <c r="D80" s="220"/>
      <c r="E80" s="220"/>
      <c r="F80" s="220"/>
      <c r="G80" s="220"/>
      <c r="H80" s="220"/>
      <c r="I80" s="220"/>
      <c r="J80" s="220"/>
      <c r="K80" s="256"/>
      <c r="L80" s="256"/>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row>
    <row r="81" spans="1:52" x14ac:dyDescent="0.2">
      <c r="A81" s="220"/>
      <c r="B81" s="220"/>
      <c r="C81" s="220"/>
      <c r="D81" s="220"/>
      <c r="E81" s="220"/>
      <c r="F81" s="220"/>
      <c r="G81" s="220"/>
      <c r="H81" s="220"/>
      <c r="I81" s="220"/>
      <c r="J81" s="220"/>
      <c r="K81" s="256"/>
      <c r="L81" s="256"/>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row>
    <row r="82" spans="1:52" x14ac:dyDescent="0.2">
      <c r="A82" s="220"/>
      <c r="B82" s="220"/>
      <c r="C82" s="220"/>
      <c r="D82" s="220"/>
      <c r="E82" s="220"/>
      <c r="F82" s="220"/>
      <c r="G82" s="220"/>
      <c r="H82" s="220"/>
      <c r="I82" s="220"/>
      <c r="J82" s="220"/>
      <c r="K82" s="256"/>
      <c r="L82" s="256"/>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row>
    <row r="83" spans="1:52" x14ac:dyDescent="0.2">
      <c r="A83" s="220"/>
      <c r="B83" s="220"/>
      <c r="C83" s="220"/>
      <c r="D83" s="220"/>
      <c r="E83" s="220"/>
      <c r="F83" s="220"/>
      <c r="G83" s="220"/>
      <c r="H83" s="220"/>
      <c r="I83" s="220"/>
      <c r="J83" s="220"/>
      <c r="K83" s="256"/>
      <c r="L83" s="256"/>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row>
    <row r="84" spans="1:52" x14ac:dyDescent="0.2">
      <c r="A84" s="220"/>
      <c r="B84" s="220"/>
      <c r="C84" s="220"/>
      <c r="D84" s="220"/>
      <c r="E84" s="220"/>
      <c r="F84" s="220"/>
      <c r="G84" s="220"/>
      <c r="H84" s="220"/>
      <c r="I84" s="220"/>
      <c r="J84" s="220"/>
      <c r="K84" s="256"/>
      <c r="L84" s="256"/>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row>
    <row r="85" spans="1:52" x14ac:dyDescent="0.2">
      <c r="A85" s="220"/>
      <c r="B85" s="220"/>
      <c r="C85" s="220"/>
      <c r="D85" s="220"/>
      <c r="E85" s="220"/>
      <c r="F85" s="220"/>
      <c r="G85" s="220"/>
      <c r="H85" s="220"/>
      <c r="I85" s="220"/>
      <c r="J85" s="220"/>
      <c r="K85" s="256"/>
      <c r="L85" s="256"/>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row>
    <row r="86" spans="1:52" x14ac:dyDescent="0.2">
      <c r="A86" s="220"/>
      <c r="B86" s="220"/>
      <c r="C86" s="220"/>
      <c r="D86" s="220"/>
      <c r="E86" s="220"/>
      <c r="F86" s="220"/>
      <c r="G86" s="220"/>
      <c r="H86" s="220"/>
      <c r="I86" s="220"/>
      <c r="J86" s="220"/>
      <c r="K86" s="256"/>
      <c r="L86" s="256"/>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row>
    <row r="87" spans="1:52" x14ac:dyDescent="0.2">
      <c r="A87" s="220"/>
      <c r="B87" s="220"/>
      <c r="C87" s="220"/>
      <c r="D87" s="220"/>
      <c r="E87" s="220"/>
      <c r="F87" s="220"/>
      <c r="G87" s="220"/>
      <c r="H87" s="220"/>
      <c r="I87" s="220"/>
      <c r="J87" s="220"/>
      <c r="K87" s="256"/>
      <c r="L87" s="256"/>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row>
    <row r="88" spans="1:52" x14ac:dyDescent="0.2">
      <c r="A88" s="220"/>
      <c r="B88" s="220"/>
      <c r="C88" s="220"/>
      <c r="D88" s="220"/>
      <c r="E88" s="220"/>
      <c r="F88" s="220"/>
      <c r="G88" s="220"/>
      <c r="H88" s="220"/>
      <c r="I88" s="220"/>
      <c r="J88" s="220"/>
      <c r="K88" s="256"/>
      <c r="L88" s="256"/>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row>
    <row r="89" spans="1:52" x14ac:dyDescent="0.2">
      <c r="A89" s="220"/>
      <c r="B89" s="220"/>
      <c r="C89" s="220"/>
      <c r="D89" s="220"/>
      <c r="E89" s="220"/>
      <c r="F89" s="220"/>
      <c r="G89" s="220"/>
      <c r="H89" s="220"/>
      <c r="I89" s="220"/>
      <c r="J89" s="220"/>
      <c r="K89" s="256"/>
      <c r="L89" s="256"/>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row>
    <row r="90" spans="1:52" x14ac:dyDescent="0.2">
      <c r="A90" s="220"/>
      <c r="B90" s="220"/>
      <c r="C90" s="220"/>
      <c r="D90" s="220"/>
      <c r="E90" s="220"/>
      <c r="F90" s="220"/>
      <c r="G90" s="220"/>
      <c r="H90" s="220"/>
      <c r="I90" s="220"/>
      <c r="J90" s="220"/>
      <c r="K90" s="256"/>
      <c r="L90" s="256"/>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row>
    <row r="91" spans="1:52" x14ac:dyDescent="0.2">
      <c r="A91" s="220"/>
      <c r="B91" s="220"/>
      <c r="C91" s="220"/>
      <c r="D91" s="220"/>
      <c r="E91" s="220"/>
      <c r="F91" s="220"/>
      <c r="G91" s="220"/>
      <c r="H91" s="220"/>
      <c r="I91" s="220"/>
      <c r="J91" s="220"/>
      <c r="K91" s="256"/>
      <c r="L91" s="256"/>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row>
    <row r="92" spans="1:52" x14ac:dyDescent="0.2">
      <c r="A92" s="220"/>
      <c r="B92" s="220"/>
      <c r="C92" s="220"/>
      <c r="D92" s="220"/>
      <c r="E92" s="220"/>
      <c r="F92" s="220"/>
      <c r="G92" s="220"/>
      <c r="H92" s="220"/>
      <c r="I92" s="220"/>
      <c r="J92" s="220"/>
      <c r="K92" s="256"/>
      <c r="L92" s="256"/>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row>
    <row r="93" spans="1:52" x14ac:dyDescent="0.2">
      <c r="A93" s="220"/>
      <c r="B93" s="220"/>
      <c r="C93" s="220"/>
      <c r="D93" s="220"/>
      <c r="E93" s="220"/>
      <c r="F93" s="220"/>
      <c r="G93" s="220"/>
      <c r="H93" s="220"/>
      <c r="I93" s="220"/>
      <c r="J93" s="220"/>
      <c r="K93" s="256"/>
      <c r="L93" s="256"/>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row>
    <row r="94" spans="1:52" x14ac:dyDescent="0.2">
      <c r="A94" s="220"/>
      <c r="B94" s="220"/>
      <c r="C94" s="220"/>
      <c r="D94" s="220"/>
      <c r="E94" s="220"/>
      <c r="F94" s="220"/>
      <c r="G94" s="220"/>
      <c r="H94" s="220"/>
      <c r="I94" s="220"/>
      <c r="J94" s="220"/>
      <c r="K94" s="256"/>
      <c r="L94" s="256"/>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row>
    <row r="95" spans="1:52" x14ac:dyDescent="0.2">
      <c r="A95" s="220"/>
      <c r="B95" s="220"/>
      <c r="C95" s="220"/>
      <c r="D95" s="220"/>
      <c r="E95" s="220"/>
      <c r="F95" s="220"/>
      <c r="G95" s="220"/>
      <c r="H95" s="220"/>
      <c r="I95" s="220"/>
      <c r="J95" s="220"/>
      <c r="K95" s="256"/>
      <c r="L95" s="256"/>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row>
    <row r="96" spans="1:52" x14ac:dyDescent="0.2">
      <c r="A96" s="220"/>
      <c r="B96" s="220"/>
      <c r="C96" s="220"/>
      <c r="D96" s="220"/>
      <c r="E96" s="220"/>
      <c r="F96" s="220"/>
      <c r="G96" s="220"/>
      <c r="H96" s="220"/>
      <c r="I96" s="220"/>
      <c r="J96" s="220"/>
      <c r="K96" s="256"/>
      <c r="L96" s="256"/>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row>
    <row r="97" spans="1:52" x14ac:dyDescent="0.2">
      <c r="A97" s="220"/>
      <c r="B97" s="220"/>
      <c r="C97" s="220"/>
      <c r="D97" s="220"/>
      <c r="E97" s="220"/>
      <c r="F97" s="220"/>
      <c r="G97" s="220"/>
      <c r="H97" s="220"/>
      <c r="I97" s="220"/>
      <c r="J97" s="220"/>
      <c r="K97" s="256"/>
      <c r="L97" s="256"/>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row>
    <row r="98" spans="1:52" x14ac:dyDescent="0.2">
      <c r="A98" s="220"/>
      <c r="B98" s="220"/>
      <c r="C98" s="220"/>
      <c r="D98" s="220"/>
      <c r="E98" s="220"/>
      <c r="F98" s="220"/>
      <c r="G98" s="220"/>
      <c r="H98" s="220"/>
      <c r="I98" s="220"/>
      <c r="J98" s="220"/>
      <c r="K98" s="256"/>
      <c r="L98" s="256"/>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row>
    <row r="99" spans="1:52" x14ac:dyDescent="0.2">
      <c r="A99" s="220"/>
      <c r="B99" s="220"/>
      <c r="C99" s="220"/>
      <c r="D99" s="220"/>
      <c r="E99" s="220"/>
      <c r="F99" s="220"/>
      <c r="G99" s="220"/>
      <c r="H99" s="220"/>
      <c r="I99" s="220"/>
      <c r="J99" s="220"/>
      <c r="K99" s="256"/>
      <c r="L99" s="256"/>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row>
    <row r="100" spans="1:52" x14ac:dyDescent="0.2">
      <c r="A100" s="220"/>
      <c r="B100" s="220"/>
      <c r="C100" s="220"/>
      <c r="D100" s="220"/>
      <c r="E100" s="220"/>
      <c r="F100" s="220"/>
      <c r="G100" s="220"/>
      <c r="H100" s="220"/>
      <c r="I100" s="220"/>
      <c r="J100" s="220"/>
      <c r="K100" s="256"/>
      <c r="L100" s="256"/>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row>
    <row r="101" spans="1:52" x14ac:dyDescent="0.2">
      <c r="A101" s="220"/>
      <c r="B101" s="220"/>
      <c r="C101" s="220"/>
      <c r="D101" s="220"/>
      <c r="E101" s="220"/>
      <c r="F101" s="220"/>
      <c r="G101" s="220"/>
      <c r="H101" s="220"/>
      <c r="I101" s="220"/>
      <c r="J101" s="220"/>
      <c r="K101" s="256"/>
      <c r="L101" s="256"/>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row>
    <row r="102" spans="1:52" x14ac:dyDescent="0.2">
      <c r="A102" s="220"/>
      <c r="B102" s="220"/>
      <c r="C102" s="220"/>
      <c r="D102" s="220"/>
      <c r="E102" s="220"/>
      <c r="F102" s="220"/>
      <c r="G102" s="220"/>
      <c r="H102" s="220"/>
      <c r="I102" s="220"/>
      <c r="J102" s="220"/>
      <c r="K102" s="256"/>
      <c r="L102" s="256"/>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row>
    <row r="103" spans="1:52" x14ac:dyDescent="0.2">
      <c r="A103" s="220"/>
      <c r="B103" s="220"/>
      <c r="C103" s="220"/>
      <c r="D103" s="220"/>
      <c r="E103" s="220"/>
      <c r="F103" s="220"/>
      <c r="G103" s="220"/>
      <c r="H103" s="220"/>
      <c r="I103" s="220"/>
      <c r="J103" s="220"/>
      <c r="K103" s="256"/>
      <c r="L103" s="256"/>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row>
    <row r="104" spans="1:52" x14ac:dyDescent="0.2">
      <c r="A104" s="220"/>
      <c r="B104" s="220"/>
      <c r="C104" s="220"/>
      <c r="D104" s="220"/>
      <c r="E104" s="220"/>
      <c r="F104" s="220"/>
      <c r="G104" s="220"/>
      <c r="H104" s="220"/>
      <c r="I104" s="220"/>
      <c r="J104" s="220"/>
      <c r="K104" s="256"/>
      <c r="L104" s="256"/>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row>
    <row r="105" spans="1:52" x14ac:dyDescent="0.2">
      <c r="A105" s="220"/>
      <c r="B105" s="220"/>
      <c r="C105" s="220"/>
      <c r="D105" s="220"/>
      <c r="E105" s="220"/>
      <c r="F105" s="220"/>
      <c r="G105" s="220"/>
      <c r="H105" s="220"/>
      <c r="I105" s="220"/>
      <c r="J105" s="220"/>
      <c r="K105" s="256"/>
      <c r="L105" s="256"/>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row>
    <row r="106" spans="1:52" x14ac:dyDescent="0.2">
      <c r="A106" s="220"/>
      <c r="B106" s="220"/>
      <c r="C106" s="220"/>
      <c r="D106" s="220"/>
      <c r="E106" s="220"/>
      <c r="F106" s="220"/>
      <c r="G106" s="220"/>
      <c r="H106" s="220"/>
      <c r="I106" s="220"/>
      <c r="J106" s="220"/>
      <c r="K106" s="256"/>
      <c r="L106" s="256"/>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row>
    <row r="107" spans="1:52" x14ac:dyDescent="0.2">
      <c r="A107" s="220"/>
      <c r="B107" s="220"/>
      <c r="C107" s="220"/>
      <c r="D107" s="220"/>
      <c r="E107" s="220"/>
      <c r="F107" s="220"/>
      <c r="G107" s="220"/>
      <c r="H107" s="220"/>
      <c r="I107" s="220"/>
      <c r="J107" s="220"/>
      <c r="K107" s="256"/>
      <c r="L107" s="256"/>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row>
    <row r="108" spans="1:52" x14ac:dyDescent="0.2">
      <c r="A108" s="220"/>
      <c r="B108" s="220"/>
      <c r="C108" s="220"/>
      <c r="D108" s="220"/>
      <c r="E108" s="220"/>
      <c r="F108" s="220"/>
      <c r="G108" s="220"/>
      <c r="H108" s="220"/>
      <c r="I108" s="220"/>
      <c r="J108" s="220"/>
      <c r="K108" s="256"/>
      <c r="L108" s="256"/>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row>
    <row r="109" spans="1:52" x14ac:dyDescent="0.2">
      <c r="A109" s="220"/>
      <c r="B109" s="220"/>
      <c r="C109" s="220"/>
      <c r="D109" s="220"/>
      <c r="E109" s="220"/>
      <c r="F109" s="220"/>
      <c r="G109" s="220"/>
      <c r="H109" s="220"/>
      <c r="I109" s="220"/>
      <c r="J109" s="220"/>
      <c r="K109" s="256"/>
      <c r="L109" s="256"/>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row>
    <row r="110" spans="1:52" x14ac:dyDescent="0.2">
      <c r="A110" s="220"/>
      <c r="B110" s="220"/>
      <c r="C110" s="220"/>
      <c r="D110" s="220"/>
      <c r="E110" s="220"/>
      <c r="F110" s="220"/>
      <c r="G110" s="220"/>
      <c r="H110" s="220"/>
      <c r="I110" s="220"/>
      <c r="J110" s="220"/>
      <c r="K110" s="256"/>
      <c r="L110" s="256"/>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row>
    <row r="111" spans="1:52" x14ac:dyDescent="0.2">
      <c r="A111" s="220"/>
      <c r="B111" s="220"/>
      <c r="C111" s="220"/>
      <c r="D111" s="220"/>
      <c r="E111" s="220"/>
      <c r="F111" s="220"/>
      <c r="G111" s="220"/>
      <c r="H111" s="220"/>
      <c r="I111" s="220"/>
      <c r="J111" s="220"/>
      <c r="K111" s="256"/>
      <c r="L111" s="256"/>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row>
    <row r="112" spans="1:52" x14ac:dyDescent="0.2">
      <c r="A112" s="220"/>
      <c r="B112" s="220"/>
      <c r="C112" s="220"/>
      <c r="D112" s="220"/>
      <c r="E112" s="220"/>
      <c r="F112" s="220"/>
      <c r="G112" s="220"/>
      <c r="H112" s="220"/>
      <c r="I112" s="220"/>
      <c r="J112" s="220"/>
      <c r="K112" s="256"/>
      <c r="L112" s="256"/>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row>
    <row r="113" spans="1:52" x14ac:dyDescent="0.2">
      <c r="A113" s="220"/>
      <c r="B113" s="220"/>
      <c r="C113" s="220"/>
      <c r="D113" s="220"/>
      <c r="E113" s="220"/>
      <c r="F113" s="220"/>
      <c r="G113" s="220"/>
      <c r="H113" s="220"/>
      <c r="I113" s="220"/>
      <c r="J113" s="220"/>
      <c r="K113" s="256"/>
      <c r="L113" s="256"/>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row>
    <row r="114" spans="1:52" x14ac:dyDescent="0.2">
      <c r="A114" s="220"/>
      <c r="B114" s="220"/>
      <c r="C114" s="220"/>
      <c r="D114" s="220"/>
      <c r="E114" s="220"/>
      <c r="F114" s="220"/>
      <c r="G114" s="220"/>
      <c r="H114" s="220"/>
      <c r="I114" s="220"/>
      <c r="J114" s="220"/>
      <c r="K114" s="256"/>
      <c r="L114" s="256"/>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row>
    <row r="115" spans="1:52" x14ac:dyDescent="0.2">
      <c r="A115" s="220"/>
      <c r="B115" s="220"/>
      <c r="C115" s="220"/>
      <c r="D115" s="220"/>
      <c r="E115" s="220"/>
      <c r="F115" s="220"/>
      <c r="G115" s="220"/>
      <c r="H115" s="220"/>
      <c r="I115" s="220"/>
      <c r="J115" s="220"/>
      <c r="K115" s="256"/>
      <c r="L115" s="256"/>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row>
    <row r="116" spans="1:52" x14ac:dyDescent="0.2">
      <c r="A116" s="220"/>
      <c r="B116" s="220"/>
      <c r="C116" s="220"/>
      <c r="D116" s="220"/>
      <c r="E116" s="220"/>
      <c r="F116" s="220"/>
      <c r="G116" s="220"/>
      <c r="H116" s="220"/>
      <c r="I116" s="220"/>
      <c r="J116" s="220"/>
      <c r="K116" s="256"/>
      <c r="L116" s="256"/>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row>
    <row r="117" spans="1:52" x14ac:dyDescent="0.2">
      <c r="A117" s="220"/>
      <c r="B117" s="220"/>
      <c r="C117" s="220"/>
      <c r="D117" s="220"/>
      <c r="E117" s="220"/>
      <c r="F117" s="220"/>
      <c r="G117" s="220"/>
      <c r="H117" s="220"/>
      <c r="I117" s="220"/>
      <c r="J117" s="220"/>
      <c r="K117" s="256"/>
      <c r="L117" s="256"/>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row>
    <row r="118" spans="1:52" x14ac:dyDescent="0.2">
      <c r="A118" s="220"/>
      <c r="B118" s="220"/>
      <c r="C118" s="220"/>
      <c r="D118" s="220"/>
      <c r="E118" s="220"/>
      <c r="F118" s="220"/>
      <c r="G118" s="220"/>
      <c r="H118" s="220"/>
      <c r="I118" s="220"/>
      <c r="J118" s="220"/>
      <c r="K118" s="256"/>
      <c r="L118" s="256"/>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row>
    <row r="119" spans="1:52" x14ac:dyDescent="0.2">
      <c r="A119" s="220"/>
      <c r="B119" s="220"/>
      <c r="C119" s="220"/>
      <c r="D119" s="220"/>
      <c r="E119" s="220"/>
      <c r="F119" s="220"/>
      <c r="G119" s="220"/>
      <c r="H119" s="220"/>
      <c r="I119" s="220"/>
      <c r="J119" s="220"/>
      <c r="K119" s="256"/>
      <c r="L119" s="256"/>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row>
    <row r="120" spans="1:52" x14ac:dyDescent="0.2">
      <c r="A120" s="220"/>
      <c r="B120" s="220"/>
      <c r="C120" s="220"/>
      <c r="D120" s="220"/>
      <c r="E120" s="220"/>
      <c r="F120" s="220"/>
      <c r="G120" s="220"/>
      <c r="H120" s="220"/>
      <c r="I120" s="220"/>
      <c r="J120" s="220"/>
      <c r="K120" s="256"/>
      <c r="L120" s="256"/>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row>
    <row r="121" spans="1:52" x14ac:dyDescent="0.2">
      <c r="A121" s="220"/>
      <c r="B121" s="220"/>
      <c r="C121" s="220"/>
      <c r="D121" s="220"/>
      <c r="E121" s="220"/>
      <c r="F121" s="220"/>
      <c r="G121" s="220"/>
      <c r="H121" s="220"/>
      <c r="I121" s="220"/>
      <c r="J121" s="220"/>
      <c r="K121" s="256"/>
      <c r="L121" s="256"/>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row>
    <row r="122" spans="1:52" x14ac:dyDescent="0.2">
      <c r="A122" s="220"/>
      <c r="B122" s="220"/>
      <c r="C122" s="220"/>
      <c r="D122" s="220"/>
      <c r="E122" s="220"/>
      <c r="F122" s="220"/>
      <c r="G122" s="220"/>
      <c r="H122" s="220"/>
      <c r="I122" s="220"/>
      <c r="J122" s="220"/>
      <c r="K122" s="256"/>
      <c r="L122" s="256"/>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row>
    <row r="123" spans="1:52" x14ac:dyDescent="0.2">
      <c r="A123" s="220"/>
      <c r="B123" s="220"/>
      <c r="C123" s="220"/>
      <c r="D123" s="220"/>
      <c r="E123" s="220"/>
      <c r="F123" s="220"/>
      <c r="G123" s="220"/>
      <c r="H123" s="220"/>
      <c r="I123" s="220"/>
      <c r="J123" s="220"/>
      <c r="K123" s="256"/>
      <c r="L123" s="256"/>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row>
    <row r="124" spans="1:52" x14ac:dyDescent="0.2">
      <c r="A124" s="220"/>
      <c r="B124" s="220"/>
      <c r="C124" s="220"/>
      <c r="D124" s="220"/>
      <c r="E124" s="220"/>
      <c r="F124" s="220"/>
      <c r="G124" s="220"/>
      <c r="H124" s="220"/>
      <c r="I124" s="220"/>
      <c r="J124" s="220"/>
      <c r="K124" s="256"/>
      <c r="L124" s="256"/>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row>
    <row r="125" spans="1:52" x14ac:dyDescent="0.2">
      <c r="A125" s="220"/>
      <c r="B125" s="220"/>
      <c r="C125" s="220"/>
      <c r="D125" s="220"/>
      <c r="E125" s="220"/>
      <c r="F125" s="220"/>
      <c r="G125" s="220"/>
      <c r="H125" s="220"/>
      <c r="I125" s="220"/>
      <c r="J125" s="220"/>
      <c r="K125" s="256"/>
      <c r="L125" s="256"/>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row>
    <row r="126" spans="1:52" x14ac:dyDescent="0.2">
      <c r="A126" s="220"/>
      <c r="B126" s="220"/>
      <c r="C126" s="220"/>
      <c r="D126" s="220"/>
      <c r="E126" s="220"/>
      <c r="F126" s="220"/>
      <c r="G126" s="220"/>
      <c r="H126" s="220"/>
      <c r="I126" s="220"/>
      <c r="J126" s="220"/>
      <c r="K126" s="256"/>
      <c r="L126" s="256"/>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row>
    <row r="127" spans="1:52" x14ac:dyDescent="0.2">
      <c r="A127" s="220"/>
      <c r="B127" s="220"/>
      <c r="C127" s="220"/>
      <c r="D127" s="220"/>
      <c r="E127" s="220"/>
      <c r="F127" s="220"/>
      <c r="G127" s="220"/>
      <c r="H127" s="220"/>
      <c r="I127" s="220"/>
      <c r="J127" s="220"/>
      <c r="K127" s="256"/>
      <c r="L127" s="256"/>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row>
    <row r="128" spans="1:52" x14ac:dyDescent="0.2">
      <c r="A128" s="220"/>
      <c r="B128" s="220"/>
      <c r="C128" s="220"/>
      <c r="D128" s="220"/>
      <c r="E128" s="220"/>
      <c r="F128" s="220"/>
      <c r="G128" s="220"/>
      <c r="H128" s="220"/>
      <c r="I128" s="220"/>
      <c r="J128" s="220"/>
      <c r="K128" s="256"/>
      <c r="L128" s="256"/>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row>
    <row r="129" spans="1:52" x14ac:dyDescent="0.2">
      <c r="A129" s="220"/>
      <c r="B129" s="220"/>
      <c r="C129" s="220"/>
      <c r="D129" s="220"/>
      <c r="E129" s="220"/>
      <c r="F129" s="220"/>
      <c r="G129" s="220"/>
      <c r="H129" s="220"/>
      <c r="I129" s="220"/>
      <c r="J129" s="220"/>
      <c r="K129" s="256"/>
      <c r="L129" s="256"/>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row>
    <row r="130" spans="1:52" x14ac:dyDescent="0.2">
      <c r="A130" s="220"/>
      <c r="B130" s="220"/>
      <c r="C130" s="220"/>
      <c r="D130" s="220"/>
      <c r="E130" s="220"/>
      <c r="F130" s="220"/>
      <c r="G130" s="220"/>
      <c r="H130" s="220"/>
      <c r="I130" s="220"/>
      <c r="J130" s="220"/>
      <c r="K130" s="256"/>
      <c r="L130" s="256"/>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row>
    <row r="131" spans="1:52" x14ac:dyDescent="0.2">
      <c r="A131" s="220"/>
      <c r="B131" s="220"/>
      <c r="C131" s="220"/>
      <c r="D131" s="220"/>
      <c r="E131" s="220"/>
      <c r="F131" s="220"/>
      <c r="G131" s="220"/>
      <c r="H131" s="220"/>
      <c r="I131" s="220"/>
      <c r="J131" s="220"/>
      <c r="K131" s="256"/>
      <c r="L131" s="256"/>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row>
    <row r="132" spans="1:52" x14ac:dyDescent="0.2">
      <c r="A132" s="220"/>
      <c r="B132" s="220"/>
      <c r="C132" s="220"/>
      <c r="D132" s="220"/>
      <c r="E132" s="220"/>
      <c r="F132" s="220"/>
      <c r="G132" s="220"/>
      <c r="H132" s="220"/>
      <c r="I132" s="220"/>
      <c r="J132" s="220"/>
      <c r="K132" s="256"/>
      <c r="L132" s="256"/>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row>
    <row r="133" spans="1:52" x14ac:dyDescent="0.2">
      <c r="A133" s="220"/>
      <c r="B133" s="220"/>
      <c r="C133" s="220"/>
      <c r="D133" s="220"/>
      <c r="E133" s="220"/>
      <c r="F133" s="220"/>
      <c r="G133" s="220"/>
      <c r="H133" s="220"/>
      <c r="I133" s="220"/>
      <c r="J133" s="220"/>
      <c r="K133" s="256"/>
      <c r="L133" s="256"/>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row>
    <row r="134" spans="1:52" x14ac:dyDescent="0.2">
      <c r="A134" s="220"/>
      <c r="B134" s="220"/>
      <c r="C134" s="220"/>
      <c r="D134" s="220"/>
      <c r="E134" s="220"/>
      <c r="F134" s="220"/>
      <c r="G134" s="220"/>
      <c r="H134" s="220"/>
      <c r="I134" s="220"/>
      <c r="J134" s="220"/>
      <c r="K134" s="256"/>
      <c r="L134" s="256"/>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row>
    <row r="135" spans="1:52" x14ac:dyDescent="0.2">
      <c r="A135" s="220"/>
      <c r="B135" s="220"/>
      <c r="C135" s="220"/>
      <c r="D135" s="220"/>
      <c r="E135" s="220"/>
      <c r="F135" s="220"/>
      <c r="G135" s="220"/>
      <c r="H135" s="220"/>
      <c r="I135" s="220"/>
      <c r="J135" s="220"/>
      <c r="K135" s="256"/>
      <c r="L135" s="256"/>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row>
    <row r="136" spans="1:52" x14ac:dyDescent="0.2">
      <c r="A136" s="220"/>
      <c r="B136" s="220"/>
      <c r="C136" s="220"/>
      <c r="D136" s="220"/>
      <c r="E136" s="220"/>
      <c r="F136" s="220"/>
      <c r="G136" s="220"/>
      <c r="H136" s="220"/>
      <c r="I136" s="220"/>
      <c r="J136" s="220"/>
      <c r="K136" s="256"/>
      <c r="L136" s="256"/>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row>
    <row r="137" spans="1:52" x14ac:dyDescent="0.2">
      <c r="A137" s="220"/>
      <c r="B137" s="220"/>
      <c r="C137" s="220"/>
      <c r="D137" s="220"/>
      <c r="E137" s="220"/>
      <c r="F137" s="220"/>
      <c r="G137" s="220"/>
      <c r="H137" s="220"/>
      <c r="I137" s="220"/>
      <c r="J137" s="220"/>
      <c r="K137" s="256"/>
      <c r="L137" s="256"/>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row>
    <row r="138" spans="1:52" x14ac:dyDescent="0.2">
      <c r="A138" s="220"/>
      <c r="B138" s="220"/>
      <c r="C138" s="220"/>
      <c r="D138" s="220"/>
      <c r="E138" s="220"/>
      <c r="F138" s="220"/>
      <c r="G138" s="220"/>
      <c r="H138" s="220"/>
      <c r="I138" s="220"/>
      <c r="J138" s="220"/>
      <c r="K138" s="256"/>
      <c r="L138" s="256"/>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row>
    <row r="139" spans="1:52" x14ac:dyDescent="0.2">
      <c r="A139" s="220"/>
      <c r="B139" s="220"/>
      <c r="C139" s="220"/>
      <c r="D139" s="220"/>
      <c r="E139" s="220"/>
      <c r="F139" s="220"/>
      <c r="G139" s="220"/>
      <c r="H139" s="220"/>
      <c r="I139" s="220"/>
      <c r="J139" s="220"/>
      <c r="K139" s="256"/>
      <c r="L139" s="256"/>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row>
    <row r="140" spans="1:52" x14ac:dyDescent="0.2">
      <c r="A140" s="220"/>
      <c r="B140" s="220"/>
      <c r="C140" s="220"/>
      <c r="D140" s="220"/>
      <c r="E140" s="220"/>
      <c r="F140" s="220"/>
      <c r="G140" s="220"/>
      <c r="H140" s="220"/>
      <c r="I140" s="220"/>
      <c r="J140" s="220"/>
      <c r="K140" s="256"/>
      <c r="L140" s="256"/>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row>
    <row r="141" spans="1:52" x14ac:dyDescent="0.2">
      <c r="A141" s="220"/>
      <c r="B141" s="220"/>
      <c r="C141" s="220"/>
      <c r="D141" s="220"/>
      <c r="E141" s="220"/>
      <c r="F141" s="220"/>
      <c r="G141" s="220"/>
      <c r="H141" s="220"/>
      <c r="I141" s="220"/>
      <c r="J141" s="220"/>
      <c r="K141" s="256"/>
      <c r="L141" s="256"/>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row>
    <row r="142" spans="1:52" x14ac:dyDescent="0.2">
      <c r="A142" s="220"/>
      <c r="B142" s="220"/>
      <c r="C142" s="220"/>
      <c r="D142" s="220"/>
      <c r="E142" s="220"/>
      <c r="F142" s="220"/>
      <c r="G142" s="220"/>
      <c r="H142" s="220"/>
      <c r="I142" s="220"/>
      <c r="J142" s="220"/>
      <c r="K142" s="256"/>
      <c r="L142" s="256"/>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row>
    <row r="143" spans="1:52" x14ac:dyDescent="0.2">
      <c r="A143" s="220"/>
      <c r="B143" s="220"/>
      <c r="C143" s="220"/>
      <c r="D143" s="220"/>
      <c r="E143" s="220"/>
      <c r="F143" s="220"/>
      <c r="G143" s="220"/>
      <c r="H143" s="220"/>
      <c r="I143" s="220"/>
      <c r="J143" s="220"/>
      <c r="K143" s="256"/>
      <c r="L143" s="256"/>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row>
    <row r="144" spans="1:52" x14ac:dyDescent="0.2">
      <c r="A144" s="220"/>
      <c r="B144" s="220"/>
      <c r="C144" s="220"/>
      <c r="D144" s="220"/>
      <c r="E144" s="220"/>
      <c r="F144" s="220"/>
      <c r="G144" s="220"/>
      <c r="H144" s="220"/>
      <c r="I144" s="220"/>
      <c r="J144" s="220"/>
      <c r="K144" s="256"/>
      <c r="L144" s="256"/>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row>
    <row r="145" spans="1:52" x14ac:dyDescent="0.2">
      <c r="A145" s="220"/>
      <c r="B145" s="220"/>
      <c r="C145" s="220"/>
      <c r="D145" s="220"/>
      <c r="E145" s="220"/>
      <c r="F145" s="220"/>
      <c r="G145" s="220"/>
      <c r="H145" s="220"/>
      <c r="I145" s="220"/>
      <c r="J145" s="220"/>
      <c r="K145" s="256"/>
      <c r="L145" s="256"/>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row>
    <row r="146" spans="1:52" x14ac:dyDescent="0.2">
      <c r="A146" s="220"/>
      <c r="B146" s="220"/>
      <c r="C146" s="220"/>
      <c r="D146" s="220"/>
      <c r="E146" s="220"/>
      <c r="F146" s="220"/>
      <c r="G146" s="220"/>
      <c r="H146" s="220"/>
      <c r="I146" s="220"/>
      <c r="J146" s="220"/>
      <c r="K146" s="256"/>
      <c r="L146" s="256"/>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row>
    <row r="147" spans="1:52" x14ac:dyDescent="0.2">
      <c r="A147" s="220"/>
      <c r="B147" s="220"/>
      <c r="C147" s="220"/>
      <c r="D147" s="220"/>
      <c r="E147" s="220"/>
      <c r="F147" s="220"/>
      <c r="G147" s="220"/>
      <c r="H147" s="220"/>
      <c r="I147" s="220"/>
      <c r="J147" s="220"/>
      <c r="K147" s="256"/>
      <c r="L147" s="256"/>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row>
    <row r="148" spans="1:52" x14ac:dyDescent="0.2">
      <c r="A148" s="220"/>
      <c r="B148" s="220"/>
      <c r="C148" s="220"/>
      <c r="D148" s="220"/>
      <c r="E148" s="220"/>
      <c r="F148" s="220"/>
      <c r="G148" s="220"/>
      <c r="H148" s="220"/>
      <c r="I148" s="220"/>
      <c r="J148" s="220"/>
      <c r="K148" s="256"/>
      <c r="L148" s="256"/>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row>
    <row r="149" spans="1:52" x14ac:dyDescent="0.2">
      <c r="A149" s="220"/>
      <c r="B149" s="220"/>
      <c r="C149" s="220"/>
      <c r="D149" s="220"/>
      <c r="E149" s="220"/>
      <c r="F149" s="220"/>
      <c r="G149" s="220"/>
      <c r="H149" s="220"/>
      <c r="I149" s="220"/>
      <c r="J149" s="220"/>
      <c r="K149" s="256"/>
      <c r="L149" s="256"/>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row>
    <row r="150" spans="1:52" x14ac:dyDescent="0.2">
      <c r="A150" s="220"/>
      <c r="B150" s="220"/>
      <c r="C150" s="220"/>
      <c r="D150" s="220"/>
      <c r="E150" s="220"/>
      <c r="F150" s="220"/>
      <c r="G150" s="220"/>
      <c r="H150" s="220"/>
      <c r="I150" s="220"/>
      <c r="J150" s="220"/>
      <c r="K150" s="256"/>
      <c r="L150" s="256"/>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row>
    <row r="151" spans="1:52" x14ac:dyDescent="0.2">
      <c r="A151" s="220"/>
      <c r="B151" s="220"/>
      <c r="C151" s="220"/>
      <c r="D151" s="220"/>
      <c r="E151" s="220"/>
      <c r="F151" s="220"/>
      <c r="G151" s="220"/>
      <c r="H151" s="220"/>
      <c r="I151" s="220"/>
      <c r="J151" s="220"/>
      <c r="K151" s="256"/>
      <c r="L151" s="256"/>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row>
    <row r="152" spans="1:52" x14ac:dyDescent="0.2">
      <c r="G152" s="220"/>
      <c r="J152" s="220"/>
      <c r="K152" s="256"/>
      <c r="L152" s="256"/>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row>
    <row r="153" spans="1:52" x14ac:dyDescent="0.2">
      <c r="G153" s="220"/>
      <c r="J153" s="220"/>
      <c r="K153" s="256"/>
      <c r="L153" s="256"/>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row>
    <row r="154" spans="1:52" x14ac:dyDescent="0.2">
      <c r="K154" s="256"/>
      <c r="L154" s="256"/>
      <c r="M154" s="220"/>
      <c r="N154" s="220"/>
    </row>
    <row r="155" spans="1:52" x14ac:dyDescent="0.2">
      <c r="K155" s="18"/>
      <c r="L155" s="18"/>
    </row>
  </sheetData>
  <sheetProtection formatCells="0" formatColumns="0" formatRows="0" insertColumns="0" insertRows="0"/>
  <mergeCells count="22">
    <mergeCell ref="B25:F25"/>
    <mergeCell ref="E27:F27"/>
    <mergeCell ref="E28:F28"/>
    <mergeCell ref="B29:F29"/>
    <mergeCell ref="B20:F20"/>
    <mergeCell ref="B16:E16"/>
    <mergeCell ref="B18:E18"/>
    <mergeCell ref="B13:E13"/>
    <mergeCell ref="B24:F24"/>
    <mergeCell ref="B11:F11"/>
    <mergeCell ref="E22:F22"/>
    <mergeCell ref="B19:F19"/>
    <mergeCell ref="B44:C44"/>
    <mergeCell ref="B34:F34"/>
    <mergeCell ref="B35:F35"/>
    <mergeCell ref="B36:F36"/>
    <mergeCell ref="B42:C42"/>
    <mergeCell ref="B43:C43"/>
    <mergeCell ref="B40:C40"/>
    <mergeCell ref="B41:C41"/>
    <mergeCell ref="B39:C39"/>
    <mergeCell ref="B38:C38"/>
  </mergeCells>
  <phoneticPr fontId="0" type="noConversion"/>
  <dataValidations xWindow="426" yWindow="595" count="13">
    <dataValidation type="whole" operator="lessThan" allowBlank="1" showInputMessage="1" showErrorMessage="1" sqref="D31:D33" xr:uid="{00000000-0002-0000-0100-000000000000}">
      <formula1>-9.99999999999999E+29</formula1>
    </dataValidation>
    <dataValidation allowBlank="1" showInputMessage="1" showErrorMessage="1" promptTitle="Kurzbezeichnung; Land" prompt="z.B. Musterfilm (DE)" sqref="B34:F34" xr:uid="{00000000-0002-0000-0100-000001000000}"/>
    <dataValidation allowBlank="1" showInputMessage="1" showErrorMessage="1" promptTitle="Firmenkurzbezeichnung" prompt="z.B. Musterfilm" sqref="B11:F11" xr:uid="{00000000-0002-0000-0100-000002000000}"/>
    <dataValidation allowBlank="1" showInputMessage="1" showErrorMessage="1" promptTitle="Projekttitel" prompt="bitte eingeben" sqref="A1" xr:uid="{00000000-0002-0000-0100-000003000000}"/>
    <dataValidation type="whole" operator="lessThan" allowBlank="1" showInputMessage="1" showErrorMessage="1" sqref="D23:E25" xr:uid="{00000000-0002-0000-0100-000004000000}">
      <formula1>-9.99999999999999E+30</formula1>
    </dataValidation>
    <dataValidation type="whole" operator="lessThan" allowBlank="1" showInputMessage="1" showErrorMessage="1" sqref="B26:F26 A7:A8" xr:uid="{00000000-0002-0000-0100-000005000000}">
      <formula1>-9.99999999999999E+31</formula1>
    </dataValidation>
    <dataValidation operator="lessThan" allowBlank="1" showInputMessage="1" showErrorMessage="1" sqref="E22:F22 E27:E28 B4:B6 A14:A15 E39:F46 A2:A4 A6 D9:E9 D7 F4:F9" xr:uid="{00000000-0002-0000-0100-000006000000}"/>
    <dataValidation allowBlank="1" showInputMessage="1" showErrorMessage="1" promptTitle="DREHBUCH" prompt="Ist der Produzent/die Produzentin Urhbeber/in des Buches, dann bitte rechts ankreuzen." sqref="C16:E17 B16" xr:uid="{00000000-0002-0000-0100-000007000000}"/>
    <dataValidation allowBlank="1" showInputMessage="1" showErrorMessage="1" promptTitle="HERSTELLUNGSLEITUNG" prompt="Eine Personalunion von Produzent*in und Herstellungsleitung und damit doppelter Ansatz in der Kalulation wird nicht anerkannt. " sqref="B18:E18" xr:uid="{00000000-0002-0000-0100-000008000000}"/>
    <dataValidation type="whole" operator="lessThan" allowBlank="1" showInputMessage="1" showErrorMessage="1" sqref="A7:A13 E38:F38 E47 D22 D27:D28 B31:B32 A16:A44 B38" xr:uid="{00000000-0002-0000-0100-000009000000}">
      <formula1>-9.99999999999999E+27</formula1>
    </dataValidation>
    <dataValidation allowBlank="1" showInputMessage="1" showErrorMessage="1" promptTitle="REGIE" prompt="Wird die Regie vom Produzenten/der Produzentin wahrgenommen, bitte rechts ankreuzen." sqref="B13" xr:uid="{00000000-0002-0000-0100-00000B000000}"/>
    <dataValidation allowBlank="1" showErrorMessage="1" sqref="F13:F15" xr:uid="{00000000-0002-0000-0100-00000C000000}"/>
    <dataValidation type="whole" operator="lessThan" allowBlank="1" showInputMessage="1" showErrorMessage="1" sqref="H4:M51" xr:uid="{7ED3EDF3-05E5-4EED-A276-957254EB7D09}">
      <formula1>-9999</formula1>
    </dataValidation>
  </dataValidations>
  <printOptions horizontalCentered="1"/>
  <pageMargins left="0.78740157480314965" right="0.78740157480314965" top="0.98425196850393704" bottom="0.78740157480314965" header="0.51181102362204722" footer="0.51181102362204722"/>
  <pageSetup paperSize="9" scale="96" fitToHeight="0" orientation="portrait" blackAndWhite="1" horizontalDpi="4294967292" r:id="rId1"/>
  <headerFooter alignWithMargins="0">
    <oddHeader>&amp;L&amp;"Verdana,Standard"&amp;10Kalkulationshilfe 2023-1&amp;R&amp;"Verdana,Fett"&amp;10ANLAGE 2</oddHeader>
    <oddFooter>&amp;L&amp;"Verdana,Standard"&amp;10Ausdruck vom &amp;D&amp;R&amp;"Verdana,Standard"&amp;10Seite &amp;P von &amp;N</oddFooter>
  </headerFooter>
  <ignoredErrors>
    <ignoredError sqref="F3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342900</xdr:colOff>
                    <xdr:row>12</xdr:row>
                    <xdr:rowOff>133350</xdr:rowOff>
                  </from>
                  <to>
                    <xdr:col>5</xdr:col>
                    <xdr:colOff>638175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219075</xdr:colOff>
                    <xdr:row>25</xdr:row>
                    <xdr:rowOff>133350</xdr:rowOff>
                  </from>
                  <to>
                    <xdr:col>6</xdr:col>
                    <xdr:colOff>9525</xdr:colOff>
                    <xdr:row>27</xdr:row>
                    <xdr:rowOff>0</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219075</xdr:colOff>
                    <xdr:row>27</xdr:row>
                    <xdr:rowOff>9525</xdr:rowOff>
                  </from>
                  <to>
                    <xdr:col>6</xdr:col>
                    <xdr:colOff>9525</xdr:colOff>
                    <xdr:row>28</xdr:row>
                    <xdr:rowOff>38100</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342900</xdr:colOff>
                    <xdr:row>14</xdr:row>
                    <xdr:rowOff>133350</xdr:rowOff>
                  </from>
                  <to>
                    <xdr:col>5</xdr:col>
                    <xdr:colOff>638175</xdr:colOff>
                    <xdr:row>16</xdr:row>
                    <xdr:rowOff>19050</xdr:rowOff>
                  </to>
                </anchor>
              </controlPr>
            </control>
          </mc:Choice>
        </mc:AlternateContent>
        <mc:AlternateContent xmlns:mc="http://schemas.openxmlformats.org/markup-compatibility/2006">
          <mc:Choice Requires="x14">
            <control shapeId="8279" r:id="rId9" name="Check Box 87">
              <controlPr defaultSize="0" autoFill="0" autoLine="0" autoPict="0">
                <anchor moveWithCells="1">
                  <from>
                    <xdr:col>5</xdr:col>
                    <xdr:colOff>342900</xdr:colOff>
                    <xdr:row>11</xdr:row>
                    <xdr:rowOff>133350</xdr:rowOff>
                  </from>
                  <to>
                    <xdr:col>5</xdr:col>
                    <xdr:colOff>638175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4</xdr:col>
                    <xdr:colOff>180975</xdr:colOff>
                    <xdr:row>29</xdr:row>
                    <xdr:rowOff>123825</xdr:rowOff>
                  </from>
                  <to>
                    <xdr:col>4</xdr:col>
                    <xdr:colOff>476250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4</xdr:col>
                    <xdr:colOff>180975</xdr:colOff>
                    <xdr:row>30</xdr:row>
                    <xdr:rowOff>133350</xdr:rowOff>
                  </from>
                  <to>
                    <xdr:col>4</xdr:col>
                    <xdr:colOff>476250</xdr:colOff>
                    <xdr:row>32</xdr:row>
                    <xdr:rowOff>19050</xdr:rowOff>
                  </to>
                </anchor>
              </controlPr>
            </control>
          </mc:Choice>
        </mc:AlternateContent>
        <mc:AlternateContent xmlns:mc="http://schemas.openxmlformats.org/markup-compatibility/2006">
          <mc:Choice Requires="x14">
            <control shapeId="8288" r:id="rId15" name="Check Box 96">
              <controlPr defaultSize="0" autoFill="0" autoLine="0" autoPict="0">
                <anchor moveWithCells="1">
                  <from>
                    <xdr:col>5</xdr:col>
                    <xdr:colOff>342900</xdr:colOff>
                    <xdr:row>17</xdr:row>
                    <xdr:rowOff>133350</xdr:rowOff>
                  </from>
                  <to>
                    <xdr:col>5</xdr:col>
                    <xdr:colOff>638175</xdr:colOff>
                    <xdr:row>19</xdr:row>
                    <xdr:rowOff>19050</xdr:rowOff>
                  </to>
                </anchor>
              </controlPr>
            </control>
          </mc:Choice>
        </mc:AlternateContent>
        <mc:AlternateContent xmlns:mc="http://schemas.openxmlformats.org/markup-compatibility/2006">
          <mc:Choice Requires="x14">
            <control shapeId="8289" r:id="rId16" name="Check Box 97">
              <controlPr defaultSize="0" autoFill="0" autoLine="0" autoPict="0">
                <anchor moveWithCells="1">
                  <from>
                    <xdr:col>5</xdr:col>
                    <xdr:colOff>342900</xdr:colOff>
                    <xdr:row>15</xdr:row>
                    <xdr:rowOff>133350</xdr:rowOff>
                  </from>
                  <to>
                    <xdr:col>5</xdr:col>
                    <xdr:colOff>638175</xdr:colOff>
                    <xdr:row>17</xdr:row>
                    <xdr:rowOff>19050</xdr:rowOff>
                  </to>
                </anchor>
              </controlPr>
            </control>
          </mc:Choice>
        </mc:AlternateContent>
        <mc:AlternateContent xmlns:mc="http://schemas.openxmlformats.org/markup-compatibility/2006">
          <mc:Choice Requires="x14">
            <control shapeId="8290" r:id="rId17" name="Check Box 98">
              <controlPr defaultSize="0" autoFill="0" autoLine="0" autoPict="0">
                <anchor moveWithCells="1">
                  <from>
                    <xdr:col>5</xdr:col>
                    <xdr:colOff>342900</xdr:colOff>
                    <xdr:row>18</xdr:row>
                    <xdr:rowOff>133350</xdr:rowOff>
                  </from>
                  <to>
                    <xdr:col>5</xdr:col>
                    <xdr:colOff>638175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342900</xdr:colOff>
                    <xdr:row>13</xdr:row>
                    <xdr:rowOff>133350</xdr:rowOff>
                  </from>
                  <to>
                    <xdr:col>5</xdr:col>
                    <xdr:colOff>638175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342900</xdr:colOff>
                    <xdr:row>16</xdr:row>
                    <xdr:rowOff>133350</xdr:rowOff>
                  </from>
                  <to>
                    <xdr:col>5</xdr:col>
                    <xdr:colOff>638175</xdr:colOff>
                    <xdr:row>18</xdr:row>
                    <xdr:rowOff>19050</xdr:rowOff>
                  </to>
                </anchor>
              </controlPr>
            </control>
          </mc:Choice>
        </mc:AlternateContent>
        <mc:AlternateContent xmlns:mc="http://schemas.openxmlformats.org/markup-compatibility/2006">
          <mc:Choice Requires="x14">
            <control shapeId="8294" r:id="rId20" name="Check Box 102">
              <controlPr defaultSize="0" autoFill="0" autoLine="0" autoPict="0">
                <anchor moveWithCells="1">
                  <from>
                    <xdr:col>5</xdr:col>
                    <xdr:colOff>352425</xdr:colOff>
                    <xdr:row>7</xdr:row>
                    <xdr:rowOff>133350</xdr:rowOff>
                  </from>
                  <to>
                    <xdr:col>5</xdr:col>
                    <xdr:colOff>647700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K149"/>
  <sheetViews>
    <sheetView zoomScaleNormal="100" workbookViewId="0">
      <selection activeCell="AK4" sqref="AK4"/>
    </sheetView>
  </sheetViews>
  <sheetFormatPr baseColWidth="10" defaultColWidth="11" defaultRowHeight="12.75" outlineLevelRow="1" outlineLevelCol="2" x14ac:dyDescent="0.2"/>
  <cols>
    <col min="1" max="1" width="3.625" style="16" customWidth="1"/>
    <col min="2" max="2" width="47.25" style="16" bestFit="1" customWidth="1"/>
    <col min="3" max="3" width="7.375" style="16" bestFit="1" customWidth="1"/>
    <col min="4" max="4" width="11.625" style="16" customWidth="1"/>
    <col min="5" max="6" width="8.125" style="16" customWidth="1" outlineLevel="1"/>
    <col min="7" max="8" width="11.375" style="16" customWidth="1"/>
    <col min="9" max="10" width="11.375" style="16" hidden="1" customWidth="1" outlineLevel="1"/>
    <col min="11" max="11" width="2.625" style="16" customWidth="1" collapsed="1"/>
    <col min="12" max="12" width="11.75" style="16" hidden="1" customWidth="1" outlineLevel="1"/>
    <col min="13" max="17" width="11.375" style="16" hidden="1" customWidth="1" outlineLevel="1"/>
    <col min="18" max="19" width="11.375" style="16" hidden="1" customWidth="1" outlineLevel="2"/>
    <col min="20" max="20" width="2.375" style="16" hidden="1" customWidth="1" outlineLevel="1" collapsed="1"/>
    <col min="21" max="21" width="2.375" style="16" customWidth="1" collapsed="1"/>
    <col min="22" max="23" width="11.625" style="16" hidden="1" customWidth="1" outlineLevel="1"/>
    <col min="24" max="27" width="11.625" style="16" hidden="1" customWidth="1" outlineLevel="2"/>
    <col min="28" max="28" width="2.625" style="16" hidden="1" customWidth="1" outlineLevel="1" collapsed="1"/>
    <col min="29" max="29" width="12.625" style="16" hidden="1" customWidth="1" outlineLevel="1"/>
    <col min="30" max="30" width="11.25" style="16" hidden="1" customWidth="1" outlineLevel="1"/>
    <col min="31" max="31" width="5.125" style="16" customWidth="1" collapsed="1"/>
    <col min="32" max="32" width="0" style="16" hidden="1" customWidth="1"/>
    <col min="33" max="33" width="5.125" style="16" hidden="1" customWidth="1"/>
    <col min="34" max="34" width="47.875" style="16" hidden="1" customWidth="1"/>
    <col min="35" max="35" width="41.625" style="16" hidden="1" customWidth="1"/>
    <col min="36" max="16384" width="11" style="16"/>
  </cols>
  <sheetData>
    <row r="1" spans="1:63" s="102" customFormat="1" ht="18.75" thickBot="1" x14ac:dyDescent="0.3">
      <c r="A1" s="269" t="str">
        <f>Stammblatt!A1</f>
        <v>Projekttitel</v>
      </c>
      <c r="B1" s="270"/>
      <c r="C1" s="269"/>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83"/>
      <c r="AG1" s="283"/>
      <c r="AH1" s="283"/>
      <c r="AI1" s="283"/>
      <c r="AJ1" s="283"/>
      <c r="AK1" s="283"/>
      <c r="AL1" s="283"/>
      <c r="AM1" s="270"/>
      <c r="AN1" s="270"/>
      <c r="AO1" s="270"/>
      <c r="AP1" s="270"/>
      <c r="AQ1" s="270"/>
      <c r="AR1" s="270"/>
      <c r="AS1" s="270"/>
      <c r="AT1" s="218"/>
      <c r="AU1" s="218"/>
      <c r="AV1" s="218"/>
      <c r="AW1" s="218"/>
      <c r="AX1" s="218"/>
      <c r="AY1" s="270"/>
      <c r="AZ1" s="270"/>
      <c r="BA1" s="270"/>
      <c r="BB1" s="270"/>
      <c r="BC1" s="270"/>
      <c r="BD1" s="270"/>
      <c r="BE1" s="270"/>
      <c r="BF1" s="270"/>
      <c r="BG1" s="270"/>
      <c r="BH1" s="270"/>
      <c r="BI1" s="270"/>
      <c r="BJ1" s="270"/>
      <c r="BK1" s="270"/>
    </row>
    <row r="2" spans="1:63" ht="18" customHeight="1" thickBot="1" x14ac:dyDescent="0.25">
      <c r="A2" s="218"/>
      <c r="B2" s="218"/>
      <c r="C2" s="218"/>
      <c r="D2" s="899" t="str">
        <f ca="1">IF(AND(Stammblatt!$I$9=TRUE,GHSTK&gt;1570000),"BUDGET FÜR WERKSTATTPROJEKT ZU HOCH!!","")</f>
        <v/>
      </c>
      <c r="E2" s="218"/>
      <c r="F2" s="218"/>
      <c r="G2" s="1139" t="s">
        <v>1129</v>
      </c>
      <c r="H2" s="1140"/>
      <c r="I2" s="1140"/>
      <c r="J2" s="1141"/>
      <c r="K2" s="218"/>
      <c r="L2" s="1142" t="str">
        <f>IF(Stammblatt!$L$4=1,"Kostenstand Österreich per","Cost report Austria of")</f>
        <v>Kostenstand Österreich per</v>
      </c>
      <c r="M2" s="1143"/>
      <c r="N2" s="1143"/>
      <c r="O2" s="1143"/>
      <c r="P2" s="1143"/>
      <c r="Q2" s="966" t="str">
        <f>'Kalkulation Herstellungskosten'!Y1</f>
        <v>DATUM</v>
      </c>
      <c r="R2" s="988"/>
      <c r="S2" s="966"/>
      <c r="T2" s="987"/>
      <c r="U2" s="290"/>
      <c r="V2" s="1139" t="s">
        <v>1068</v>
      </c>
      <c r="W2" s="1140"/>
      <c r="X2" s="1140"/>
      <c r="Y2" s="1140"/>
      <c r="Z2" s="1140"/>
      <c r="AA2" s="1140"/>
      <c r="AB2" s="1141"/>
      <c r="AC2" s="218"/>
      <c r="AD2" s="218"/>
      <c r="AE2" s="218"/>
      <c r="AF2" s="283"/>
      <c r="AG2" s="283"/>
      <c r="AH2" s="283"/>
      <c r="AI2" s="283"/>
      <c r="AJ2" s="283"/>
      <c r="AK2" s="283"/>
      <c r="AL2" s="283"/>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row>
    <row r="3" spans="1:63" s="19" customFormat="1" ht="27" customHeight="1" x14ac:dyDescent="0.2">
      <c r="A3" s="992" t="str">
        <f>IF(Stammblatt!$L$4=1,Zusammenfassung!AH3,Zusammenfassung!AI3)</f>
        <v>Kostenzusammenstellung (Beträge in €)</v>
      </c>
      <c r="B3" s="271"/>
      <c r="C3" s="272"/>
      <c r="D3" s="273" t="str">
        <f>IF(Stammblatt!I32=FALSE,"",Stammblatt!B11)</f>
        <v/>
      </c>
      <c r="E3" s="1144" t="s">
        <v>647</v>
      </c>
      <c r="F3" s="1145"/>
      <c r="G3" s="1030" t="s">
        <v>574</v>
      </c>
      <c r="H3" s="723" t="s">
        <v>954</v>
      </c>
      <c r="I3" s="1029" t="s">
        <v>1034</v>
      </c>
      <c r="J3" s="1034" t="s">
        <v>1034</v>
      </c>
      <c r="K3" s="218"/>
      <c r="L3" s="967" t="str">
        <f>IF(Stammblatt!$L$4=1,"IST-Kosten","Costs incurred")</f>
        <v>IST-Kosten</v>
      </c>
      <c r="M3" s="968" t="str">
        <f>IF(Stammblatt!$L$4=1,"noch zu erwarten","Costs to be expected")</f>
        <v>noch zu erwarten</v>
      </c>
      <c r="N3" s="969" t="str">
        <f>IF(Stammblatt!$L$4=1,"Endkosten","Final costs")</f>
        <v>Endkosten</v>
      </c>
      <c r="O3" s="970" t="s">
        <v>246</v>
      </c>
      <c r="P3" s="382" t="s">
        <v>575</v>
      </c>
      <c r="Q3" s="980" t="s">
        <v>955</v>
      </c>
      <c r="R3" s="382" t="s">
        <v>1034</v>
      </c>
      <c r="S3" s="991" t="s">
        <v>1034</v>
      </c>
      <c r="T3" s="987"/>
      <c r="U3" s="290"/>
      <c r="V3" s="1138" t="str">
        <f>Stammblatt!B34</f>
        <v>A</v>
      </c>
      <c r="W3" s="1138"/>
      <c r="X3" s="1138" t="str">
        <f>Stammblatt!B35</f>
        <v>B</v>
      </c>
      <c r="Y3" s="1138"/>
      <c r="Z3" s="1138" t="str">
        <f>Stammblatt!B36</f>
        <v>C</v>
      </c>
      <c r="AA3" s="1138"/>
      <c r="AB3" s="291"/>
      <c r="AC3" s="724" t="s">
        <v>288</v>
      </c>
      <c r="AD3" s="724" t="s">
        <v>1176</v>
      </c>
      <c r="AE3" s="271"/>
      <c r="AF3" s="283"/>
      <c r="AG3" s="283"/>
      <c r="AH3" s="283" t="s">
        <v>324</v>
      </c>
      <c r="AI3" s="283" t="s">
        <v>286</v>
      </c>
      <c r="AJ3" s="283"/>
      <c r="AK3" s="283"/>
      <c r="AL3" s="283"/>
      <c r="AM3" s="271"/>
      <c r="AN3" s="271"/>
      <c r="AO3" s="271"/>
      <c r="AP3" s="271"/>
      <c r="AQ3" s="271"/>
      <c r="AR3" s="271"/>
      <c r="AS3" s="271"/>
      <c r="AT3" s="218"/>
      <c r="AU3" s="218"/>
      <c r="AV3" s="218"/>
      <c r="AW3" s="218"/>
      <c r="AX3" s="218"/>
      <c r="AY3" s="271"/>
      <c r="AZ3" s="271"/>
      <c r="BA3" s="271"/>
      <c r="BB3" s="271"/>
      <c r="BC3" s="271"/>
      <c r="BD3" s="271"/>
      <c r="BE3" s="271"/>
      <c r="BF3" s="271"/>
      <c r="BG3" s="271"/>
      <c r="BH3" s="271"/>
      <c r="BI3" s="271"/>
      <c r="BJ3" s="271"/>
      <c r="BK3" s="271"/>
    </row>
    <row r="4" spans="1:63" s="7" customFormat="1" ht="15" customHeight="1" x14ac:dyDescent="0.2">
      <c r="A4" s="274"/>
      <c r="B4" s="275"/>
      <c r="C4" s="276"/>
      <c r="D4" s="277"/>
      <c r="E4" s="278" t="s">
        <v>581</v>
      </c>
      <c r="F4" s="279" t="s">
        <v>582</v>
      </c>
      <c r="G4" s="263"/>
      <c r="H4" s="263"/>
      <c r="I4" s="263"/>
      <c r="J4" s="263"/>
      <c r="K4" s="218"/>
      <c r="L4" s="971"/>
      <c r="M4" s="972"/>
      <c r="N4" s="973"/>
      <c r="O4" s="974"/>
      <c r="P4" s="263"/>
      <c r="Q4" s="981"/>
      <c r="R4" s="263"/>
      <c r="S4" s="981"/>
      <c r="T4" s="987"/>
      <c r="U4" s="290"/>
      <c r="V4" s="724" t="s">
        <v>1174</v>
      </c>
      <c r="W4" s="724" t="s">
        <v>1175</v>
      </c>
      <c r="X4" s="724" t="s">
        <v>1174</v>
      </c>
      <c r="Y4" s="724" t="s">
        <v>1175</v>
      </c>
      <c r="Z4" s="724" t="s">
        <v>1174</v>
      </c>
      <c r="AA4" s="724" t="s">
        <v>1175</v>
      </c>
      <c r="AB4" s="274"/>
      <c r="AC4" s="724" t="s">
        <v>1174</v>
      </c>
      <c r="AD4" s="1100" t="s">
        <v>1175</v>
      </c>
      <c r="AE4" s="274"/>
      <c r="AF4" s="283"/>
      <c r="AG4" s="283"/>
      <c r="AH4" s="283"/>
      <c r="AI4" s="283"/>
      <c r="AJ4" s="283"/>
      <c r="AK4" s="283"/>
      <c r="AL4" s="283"/>
      <c r="AM4" s="274"/>
      <c r="AN4" s="274"/>
      <c r="AO4" s="274"/>
      <c r="AP4" s="274"/>
      <c r="AQ4" s="274"/>
      <c r="AR4" s="274"/>
      <c r="AS4" s="274"/>
      <c r="AT4" s="218"/>
      <c r="AU4" s="218"/>
      <c r="AV4" s="218"/>
      <c r="AW4" s="218"/>
      <c r="AX4" s="218"/>
      <c r="AY4" s="274"/>
      <c r="AZ4" s="274"/>
      <c r="BA4" s="274"/>
      <c r="BB4" s="274"/>
      <c r="BC4" s="274"/>
      <c r="BD4" s="274"/>
      <c r="BE4" s="274"/>
      <c r="BF4" s="274"/>
      <c r="BG4" s="274"/>
      <c r="BH4" s="274"/>
      <c r="BI4" s="274"/>
      <c r="BJ4" s="274"/>
      <c r="BK4" s="274"/>
    </row>
    <row r="5" spans="1:63" s="8" customFormat="1" ht="15" customHeight="1" x14ac:dyDescent="0.2">
      <c r="A5" s="280" t="s">
        <v>0</v>
      </c>
      <c r="B5" s="281" t="str">
        <f>IF(Stammblatt!$L$4=1,AH5,AI5)</f>
        <v>Vorkosten</v>
      </c>
      <c r="C5" s="282"/>
      <c r="D5" s="283">
        <f>ZS_1_Vorkosten</f>
        <v>0</v>
      </c>
      <c r="E5" s="284">
        <f>'Kalkulation Herstellungskosten'!L8</f>
        <v>0</v>
      </c>
      <c r="F5" s="285">
        <f>'Kalkulation Herstellungskosten'!M8</f>
        <v>0</v>
      </c>
      <c r="G5" s="1031">
        <f>'Kalkulation Herstellungskosten'!O8</f>
        <v>0</v>
      </c>
      <c r="H5" s="383">
        <f>'Kalkulation Herstellungskosten'!P8</f>
        <v>0</v>
      </c>
      <c r="I5" s="1033">
        <f>'Kalkulation Herstellungskosten'!Q8</f>
        <v>0</v>
      </c>
      <c r="J5" s="1035">
        <f>'Kalkulation Herstellungskosten'!R8</f>
        <v>0</v>
      </c>
      <c r="K5" s="218"/>
      <c r="L5" s="975">
        <f>'Kalkulation Herstellungskosten'!T8</f>
        <v>0</v>
      </c>
      <c r="M5" s="283">
        <f>'Kalkulation Herstellungskosten'!U8</f>
        <v>0</v>
      </c>
      <c r="N5" s="283">
        <f>'Kalkulation Herstellungskosten'!V8</f>
        <v>0</v>
      </c>
      <c r="O5" s="976">
        <f t="shared" ref="O5:O16" si="0">D5-N5</f>
        <v>0</v>
      </c>
      <c r="P5" s="383">
        <f>'Kalkulation Herstellungskosten'!X8</f>
        <v>0</v>
      </c>
      <c r="Q5" s="982">
        <f>'Kalkulation Herstellungskosten'!Y8</f>
        <v>0</v>
      </c>
      <c r="R5" s="383">
        <f>'Kalkulation Herstellungskosten'!Z8</f>
        <v>0</v>
      </c>
      <c r="S5" s="982">
        <f>'Kalkulation Herstellungskosten'!AA8</f>
        <v>0</v>
      </c>
      <c r="T5" s="987"/>
      <c r="U5" s="290"/>
      <c r="V5" s="283">
        <f>'Kalkulation Herstellungskosten'!AD8</f>
        <v>0</v>
      </c>
      <c r="W5" s="160"/>
      <c r="X5" s="283">
        <f>'Kalkulation Herstellungskosten'!AE8</f>
        <v>0</v>
      </c>
      <c r="Y5" s="160"/>
      <c r="Z5" s="283">
        <f>'Kalkulation Herstellungskosten'!AF8</f>
        <v>0</v>
      </c>
      <c r="AA5" s="160"/>
      <c r="AB5" s="283"/>
      <c r="AC5" s="283">
        <f>SUM(D5,V5,X5,Z5)</f>
        <v>0</v>
      </c>
      <c r="AD5" s="283">
        <f>SUM(N5,W5,Y5,AA5)</f>
        <v>0</v>
      </c>
      <c r="AE5" s="265"/>
      <c r="AF5" s="283"/>
      <c r="AG5" s="283"/>
      <c r="AH5" s="283" t="s">
        <v>1</v>
      </c>
      <c r="AI5" s="283" t="s">
        <v>280</v>
      </c>
      <c r="AJ5" s="283"/>
      <c r="AK5" s="283"/>
      <c r="AL5" s="283"/>
      <c r="AM5" s="265"/>
      <c r="AN5" s="265"/>
      <c r="AO5" s="265"/>
      <c r="AP5" s="265"/>
      <c r="AQ5" s="265"/>
      <c r="AR5" s="265"/>
      <c r="AS5" s="265"/>
      <c r="AT5" s="218"/>
      <c r="AU5" s="218"/>
      <c r="AV5" s="218"/>
      <c r="AW5" s="218"/>
      <c r="AX5" s="218"/>
      <c r="AY5" s="265"/>
      <c r="AZ5" s="265"/>
      <c r="BA5" s="265"/>
      <c r="BB5" s="265"/>
      <c r="BC5" s="265"/>
      <c r="BD5" s="265"/>
      <c r="BE5" s="265"/>
      <c r="BF5" s="265"/>
      <c r="BG5" s="265"/>
      <c r="BH5" s="265"/>
      <c r="BI5" s="265"/>
      <c r="BJ5" s="265"/>
      <c r="BK5" s="265"/>
    </row>
    <row r="6" spans="1:63" s="8" customFormat="1" ht="15" customHeight="1" x14ac:dyDescent="0.2">
      <c r="A6" s="280" t="s">
        <v>2</v>
      </c>
      <c r="B6" s="286" t="str">
        <f>IF(Stammblatt!$L$4=1,AH6,AI6)</f>
        <v>Nutzungsrechte</v>
      </c>
      <c r="C6" s="282"/>
      <c r="D6" s="283">
        <f>ZS_2_Nutzungsrechte</f>
        <v>0</v>
      </c>
      <c r="E6" s="284">
        <f>'Kalkulation Herstellungskosten'!L24</f>
        <v>0</v>
      </c>
      <c r="F6" s="285">
        <f>'Kalkulation Herstellungskosten'!M24</f>
        <v>0</v>
      </c>
      <c r="G6" s="1031">
        <f>'Kalkulation Herstellungskosten'!O24</f>
        <v>0</v>
      </c>
      <c r="H6" s="383">
        <f>'Kalkulation Herstellungskosten'!P24</f>
        <v>0</v>
      </c>
      <c r="I6" s="1033">
        <f>'Kalkulation Herstellungskosten'!Q24</f>
        <v>0</v>
      </c>
      <c r="J6" s="1035">
        <f>'Kalkulation Herstellungskosten'!R24</f>
        <v>0</v>
      </c>
      <c r="K6" s="218"/>
      <c r="L6" s="975">
        <f>'Kalkulation Herstellungskosten'!T24</f>
        <v>0</v>
      </c>
      <c r="M6" s="283">
        <f>'Kalkulation Herstellungskosten'!U24</f>
        <v>0</v>
      </c>
      <c r="N6" s="283">
        <f>'Kalkulation Herstellungskosten'!V24</f>
        <v>0</v>
      </c>
      <c r="O6" s="976">
        <f t="shared" si="0"/>
        <v>0</v>
      </c>
      <c r="P6" s="383">
        <f>'Kalkulation Herstellungskosten'!X24</f>
        <v>0</v>
      </c>
      <c r="Q6" s="982">
        <f>'Kalkulation Herstellungskosten'!Y24</f>
        <v>0</v>
      </c>
      <c r="R6" s="383">
        <f>'Kalkulation Herstellungskosten'!Z24</f>
        <v>0</v>
      </c>
      <c r="S6" s="982">
        <f>'Kalkulation Herstellungskosten'!AA24</f>
        <v>0</v>
      </c>
      <c r="T6" s="987"/>
      <c r="U6" s="290"/>
      <c r="V6" s="283">
        <f>'Kalkulation Herstellungskosten'!AD24</f>
        <v>0</v>
      </c>
      <c r="W6" s="190"/>
      <c r="X6" s="283">
        <f>'Kalkulation Herstellungskosten'!AE24</f>
        <v>0</v>
      </c>
      <c r="Y6" s="190"/>
      <c r="Z6" s="283">
        <f>'Kalkulation Herstellungskosten'!AF24</f>
        <v>0</v>
      </c>
      <c r="AA6" s="190"/>
      <c r="AB6" s="283"/>
      <c r="AC6" s="283">
        <f t="shared" ref="AC6:AC16" si="1">SUM(D6,V6,X6,Z6)</f>
        <v>0</v>
      </c>
      <c r="AD6" s="283">
        <f t="shared" ref="AD6:AD23" si="2">SUM(N6,W6,Y6,AA6)</f>
        <v>0</v>
      </c>
      <c r="AE6" s="265"/>
      <c r="AF6" s="283"/>
      <c r="AG6" s="283"/>
      <c r="AH6" s="283" t="s">
        <v>3</v>
      </c>
      <c r="AI6" s="283" t="s">
        <v>275</v>
      </c>
      <c r="AJ6" s="283"/>
      <c r="AK6" s="283"/>
      <c r="AL6" s="283"/>
      <c r="AM6" s="265"/>
      <c r="AN6" s="265"/>
      <c r="AO6" s="265"/>
      <c r="AP6" s="265"/>
      <c r="AQ6" s="265"/>
      <c r="AR6" s="265"/>
      <c r="AS6" s="265"/>
      <c r="AT6" s="218"/>
      <c r="AU6" s="218"/>
      <c r="AV6" s="218"/>
      <c r="AW6" s="218"/>
      <c r="AX6" s="218"/>
      <c r="AY6" s="265"/>
      <c r="AZ6" s="265"/>
      <c r="BA6" s="265"/>
      <c r="BB6" s="265"/>
      <c r="BC6" s="265"/>
      <c r="BD6" s="265"/>
      <c r="BE6" s="265"/>
      <c r="BF6" s="265"/>
      <c r="BG6" s="265"/>
      <c r="BH6" s="265"/>
      <c r="BI6" s="265"/>
      <c r="BJ6" s="265"/>
      <c r="BK6" s="265"/>
    </row>
    <row r="7" spans="1:63" s="8" customFormat="1" ht="15" customHeight="1" x14ac:dyDescent="0.2">
      <c r="A7" s="280" t="s">
        <v>4</v>
      </c>
      <c r="B7" s="286" t="str">
        <f>IF(Stammblatt!$L$4=1,AH7,AI7)</f>
        <v>Gagen, Löhne, Honorare</v>
      </c>
      <c r="C7" s="282"/>
      <c r="D7" s="283">
        <f ca="1">ZS_3_Gagen</f>
        <v>0</v>
      </c>
      <c r="E7" s="284">
        <f>'Kalkulation Herstellungskosten'!L287</f>
        <v>0</v>
      </c>
      <c r="F7" s="285">
        <f>'Kalkulation Herstellungskosten'!M287</f>
        <v>0</v>
      </c>
      <c r="G7" s="1031">
        <f>'Kalkulation Herstellungskosten'!O287</f>
        <v>0</v>
      </c>
      <c r="H7" s="383">
        <f>'Kalkulation Herstellungskosten'!P287</f>
        <v>0</v>
      </c>
      <c r="I7" s="1033">
        <f>'Kalkulation Herstellungskosten'!Q287</f>
        <v>0</v>
      </c>
      <c r="J7" s="1035">
        <f>'Kalkulation Herstellungskosten'!R287</f>
        <v>0</v>
      </c>
      <c r="K7" s="218"/>
      <c r="L7" s="975">
        <f>'Kalkulation Herstellungskosten'!T287</f>
        <v>0</v>
      </c>
      <c r="M7" s="283">
        <f>'Kalkulation Herstellungskosten'!U287</f>
        <v>0</v>
      </c>
      <c r="N7" s="283">
        <f>'Kalkulation Herstellungskosten'!V287</f>
        <v>0</v>
      </c>
      <c r="O7" s="976">
        <f t="shared" ca="1" si="0"/>
        <v>0</v>
      </c>
      <c r="P7" s="383">
        <f>'Kalkulation Herstellungskosten'!X287</f>
        <v>0</v>
      </c>
      <c r="Q7" s="982">
        <f>'Kalkulation Herstellungskosten'!Y287</f>
        <v>0</v>
      </c>
      <c r="R7" s="383">
        <f>'Kalkulation Herstellungskosten'!Z287</f>
        <v>0</v>
      </c>
      <c r="S7" s="982">
        <f>'Kalkulation Herstellungskosten'!AA287</f>
        <v>0</v>
      </c>
      <c r="T7" s="987"/>
      <c r="U7" s="290"/>
      <c r="V7" s="283">
        <f>'Kalkulation Herstellungskosten'!AD287</f>
        <v>0</v>
      </c>
      <c r="W7" s="190"/>
      <c r="X7" s="283">
        <f>'Kalkulation Herstellungskosten'!AE287</f>
        <v>0</v>
      </c>
      <c r="Y7" s="190"/>
      <c r="Z7" s="283">
        <f>'Kalkulation Herstellungskosten'!AF287</f>
        <v>0</v>
      </c>
      <c r="AA7" s="190"/>
      <c r="AB7" s="283"/>
      <c r="AC7" s="283">
        <f t="shared" ca="1" si="1"/>
        <v>0</v>
      </c>
      <c r="AD7" s="283">
        <f t="shared" si="2"/>
        <v>0</v>
      </c>
      <c r="AE7" s="265"/>
      <c r="AF7" s="283"/>
      <c r="AG7" s="283"/>
      <c r="AH7" s="283" t="s">
        <v>5</v>
      </c>
      <c r="AI7" s="283" t="s">
        <v>276</v>
      </c>
      <c r="AJ7" s="283"/>
      <c r="AK7" s="283"/>
      <c r="AL7" s="283"/>
      <c r="AM7" s="265"/>
      <c r="AN7" s="265"/>
      <c r="AO7" s="265"/>
      <c r="AP7" s="265"/>
      <c r="AQ7" s="265"/>
      <c r="AR7" s="265"/>
      <c r="AS7" s="265"/>
      <c r="AT7" s="218"/>
      <c r="AU7" s="218"/>
      <c r="AV7" s="218"/>
      <c r="AW7" s="218"/>
      <c r="AX7" s="218"/>
      <c r="AY7" s="265"/>
      <c r="AZ7" s="265"/>
      <c r="BA7" s="265"/>
      <c r="BB7" s="265"/>
      <c r="BC7" s="265"/>
      <c r="BD7" s="265"/>
      <c r="BE7" s="265"/>
      <c r="BF7" s="265"/>
      <c r="BG7" s="265"/>
      <c r="BH7" s="265"/>
      <c r="BI7" s="265"/>
      <c r="BJ7" s="265"/>
      <c r="BK7" s="265"/>
    </row>
    <row r="8" spans="1:63" s="8" customFormat="1" ht="15" customHeight="1" x14ac:dyDescent="0.2">
      <c r="A8" s="280" t="s">
        <v>6</v>
      </c>
      <c r="B8" s="286" t="str">
        <f>IF(Stammblatt!$L$4=1,AH8,AI8)</f>
        <v>Bild- und Tonaufnahme</v>
      </c>
      <c r="C8" s="282"/>
      <c r="D8" s="283">
        <f>ZS_4_Bild_Ton</f>
        <v>0</v>
      </c>
      <c r="E8" s="284">
        <f>'Kalkulation Herstellungskosten'!L310</f>
        <v>0</v>
      </c>
      <c r="F8" s="285">
        <f>'Kalkulation Herstellungskosten'!M310</f>
        <v>0</v>
      </c>
      <c r="G8" s="1031">
        <f>'Kalkulation Herstellungskosten'!O310</f>
        <v>0</v>
      </c>
      <c r="H8" s="383">
        <f>'Kalkulation Herstellungskosten'!P310</f>
        <v>0</v>
      </c>
      <c r="I8" s="1033">
        <f>'Kalkulation Herstellungskosten'!Q310</f>
        <v>0</v>
      </c>
      <c r="J8" s="1035">
        <f>'Kalkulation Herstellungskosten'!R310</f>
        <v>0</v>
      </c>
      <c r="K8" s="218"/>
      <c r="L8" s="975">
        <f>'Kalkulation Herstellungskosten'!T310</f>
        <v>0</v>
      </c>
      <c r="M8" s="283">
        <f>'Kalkulation Herstellungskosten'!U310</f>
        <v>0</v>
      </c>
      <c r="N8" s="283">
        <f>'Kalkulation Herstellungskosten'!V310</f>
        <v>0</v>
      </c>
      <c r="O8" s="976">
        <f t="shared" si="0"/>
        <v>0</v>
      </c>
      <c r="P8" s="383">
        <f>'Kalkulation Herstellungskosten'!X310</f>
        <v>0</v>
      </c>
      <c r="Q8" s="982">
        <f>'Kalkulation Herstellungskosten'!Y310</f>
        <v>0</v>
      </c>
      <c r="R8" s="383">
        <f>'Kalkulation Herstellungskosten'!Z310</f>
        <v>0</v>
      </c>
      <c r="S8" s="982">
        <f>'Kalkulation Herstellungskosten'!AA310</f>
        <v>0</v>
      </c>
      <c r="T8" s="987"/>
      <c r="U8" s="290"/>
      <c r="V8" s="283">
        <f>'Kalkulation Herstellungskosten'!AD310</f>
        <v>0</v>
      </c>
      <c r="W8" s="160"/>
      <c r="X8" s="283">
        <f>'Kalkulation Herstellungskosten'!AE310</f>
        <v>0</v>
      </c>
      <c r="Y8" s="160"/>
      <c r="Z8" s="283">
        <f>'Kalkulation Herstellungskosten'!AF310</f>
        <v>0</v>
      </c>
      <c r="AA8" s="160"/>
      <c r="AB8" s="283"/>
      <c r="AC8" s="283">
        <f t="shared" si="1"/>
        <v>0</v>
      </c>
      <c r="AD8" s="283">
        <f t="shared" si="2"/>
        <v>0</v>
      </c>
      <c r="AE8" s="265"/>
      <c r="AF8" s="283"/>
      <c r="AG8" s="283"/>
      <c r="AH8" s="283" t="s">
        <v>7</v>
      </c>
      <c r="AI8" s="283" t="s">
        <v>277</v>
      </c>
      <c r="AJ8" s="283"/>
      <c r="AK8" s="283"/>
      <c r="AL8" s="283"/>
      <c r="AM8" s="265"/>
      <c r="AN8" s="265"/>
      <c r="AO8" s="265"/>
      <c r="AP8" s="265"/>
      <c r="AQ8" s="265"/>
      <c r="AR8" s="265"/>
      <c r="AS8" s="265"/>
      <c r="AT8" s="218"/>
      <c r="AU8" s="218"/>
      <c r="AV8" s="218"/>
      <c r="AW8" s="218"/>
      <c r="AX8" s="218"/>
      <c r="AY8" s="265"/>
      <c r="AZ8" s="265"/>
      <c r="BA8" s="265"/>
      <c r="BB8" s="265"/>
      <c r="BC8" s="265"/>
      <c r="BD8" s="265"/>
      <c r="BE8" s="265"/>
      <c r="BF8" s="265"/>
      <c r="BG8" s="265"/>
      <c r="BH8" s="265"/>
      <c r="BI8" s="265"/>
      <c r="BJ8" s="265"/>
      <c r="BK8" s="265"/>
    </row>
    <row r="9" spans="1:63" s="8" customFormat="1" ht="15" customHeight="1" x14ac:dyDescent="0.2">
      <c r="A9" s="280" t="s">
        <v>8</v>
      </c>
      <c r="B9" s="286" t="str">
        <f>IF(Stammblatt!$L$4=1,AH9,AI9)</f>
        <v>Studiodreh, Originalmotive, Bauten</v>
      </c>
      <c r="C9" s="282"/>
      <c r="D9" s="283">
        <f>ZS_5_Atelier_Ausleuchtung_Außenaufnahmen</f>
        <v>0</v>
      </c>
      <c r="E9" s="284">
        <f>'Kalkulation Herstellungskosten'!L332</f>
        <v>0</v>
      </c>
      <c r="F9" s="285">
        <f>'Kalkulation Herstellungskosten'!M332</f>
        <v>0</v>
      </c>
      <c r="G9" s="1031">
        <f>'Kalkulation Herstellungskosten'!O332</f>
        <v>0</v>
      </c>
      <c r="H9" s="383">
        <f>'Kalkulation Herstellungskosten'!P332</f>
        <v>0</v>
      </c>
      <c r="I9" s="1033">
        <f>'Kalkulation Herstellungskosten'!Q332</f>
        <v>0</v>
      </c>
      <c r="J9" s="1035">
        <f>'Kalkulation Herstellungskosten'!R332</f>
        <v>0</v>
      </c>
      <c r="K9" s="218"/>
      <c r="L9" s="975">
        <f>'Kalkulation Herstellungskosten'!T332</f>
        <v>0</v>
      </c>
      <c r="M9" s="283">
        <f>'Kalkulation Herstellungskosten'!U332</f>
        <v>0</v>
      </c>
      <c r="N9" s="283">
        <f>'Kalkulation Herstellungskosten'!V332</f>
        <v>0</v>
      </c>
      <c r="O9" s="976">
        <f t="shared" si="0"/>
        <v>0</v>
      </c>
      <c r="P9" s="383">
        <f>'Kalkulation Herstellungskosten'!X332</f>
        <v>0</v>
      </c>
      <c r="Q9" s="982">
        <f>'Kalkulation Herstellungskosten'!Y332</f>
        <v>0</v>
      </c>
      <c r="R9" s="383">
        <f>'Kalkulation Herstellungskosten'!Z332</f>
        <v>0</v>
      </c>
      <c r="S9" s="982">
        <f>'Kalkulation Herstellungskosten'!AA332</f>
        <v>0</v>
      </c>
      <c r="T9" s="987"/>
      <c r="U9" s="290"/>
      <c r="V9" s="283">
        <f>'Kalkulation Herstellungskosten'!AD332</f>
        <v>0</v>
      </c>
      <c r="W9" s="160"/>
      <c r="X9" s="283">
        <f>'Kalkulation Herstellungskosten'!AE332</f>
        <v>0</v>
      </c>
      <c r="Y9" s="160"/>
      <c r="Z9" s="283">
        <f>'Kalkulation Herstellungskosten'!AF332</f>
        <v>0</v>
      </c>
      <c r="AA9" s="160"/>
      <c r="AB9" s="283"/>
      <c r="AC9" s="283">
        <f t="shared" si="1"/>
        <v>0</v>
      </c>
      <c r="AD9" s="283">
        <f t="shared" si="2"/>
        <v>0</v>
      </c>
      <c r="AE9" s="265"/>
      <c r="AF9" s="283"/>
      <c r="AG9" s="283"/>
      <c r="AH9" s="283" t="s">
        <v>839</v>
      </c>
      <c r="AI9" s="283" t="s">
        <v>840</v>
      </c>
      <c r="AJ9" s="283"/>
      <c r="AK9" s="283"/>
      <c r="AL9" s="283"/>
      <c r="AM9" s="265"/>
      <c r="AN9" s="265"/>
      <c r="AO9" s="265"/>
      <c r="AP9" s="265"/>
      <c r="AQ9" s="265"/>
      <c r="AR9" s="265"/>
      <c r="AS9" s="265"/>
      <c r="AT9" s="218"/>
      <c r="AU9" s="218"/>
      <c r="AV9" s="218"/>
      <c r="AW9" s="218"/>
      <c r="AX9" s="218"/>
      <c r="AY9" s="265"/>
      <c r="AZ9" s="265"/>
      <c r="BA9" s="265"/>
      <c r="BB9" s="265"/>
      <c r="BC9" s="265"/>
      <c r="BD9" s="265"/>
      <c r="BE9" s="265"/>
      <c r="BF9" s="265"/>
      <c r="BG9" s="265"/>
      <c r="BH9" s="265"/>
      <c r="BI9" s="265"/>
      <c r="BJ9" s="265"/>
      <c r="BK9" s="265"/>
    </row>
    <row r="10" spans="1:63" s="8" customFormat="1" ht="15" customHeight="1" x14ac:dyDescent="0.2">
      <c r="A10" s="280" t="s">
        <v>9</v>
      </c>
      <c r="B10" s="286" t="str">
        <f>IF(Stammblatt!$L$4=1,AH10,AI10)</f>
        <v>Ausstattung</v>
      </c>
      <c r="C10" s="282"/>
      <c r="D10" s="283">
        <f>ZS_6_Austattung</f>
        <v>0</v>
      </c>
      <c r="E10" s="284">
        <f>'Kalkulation Herstellungskosten'!L348</f>
        <v>0</v>
      </c>
      <c r="F10" s="285">
        <f>'Kalkulation Herstellungskosten'!M348</f>
        <v>0</v>
      </c>
      <c r="G10" s="1031">
        <f>'Kalkulation Herstellungskosten'!O348</f>
        <v>0</v>
      </c>
      <c r="H10" s="383">
        <f>'Kalkulation Herstellungskosten'!P348</f>
        <v>0</v>
      </c>
      <c r="I10" s="1033">
        <f>'Kalkulation Herstellungskosten'!Q348</f>
        <v>0</v>
      </c>
      <c r="J10" s="1035">
        <f>'Kalkulation Herstellungskosten'!R348</f>
        <v>0</v>
      </c>
      <c r="K10" s="218"/>
      <c r="L10" s="975">
        <f>'Kalkulation Herstellungskosten'!T348</f>
        <v>0</v>
      </c>
      <c r="M10" s="283">
        <f>'Kalkulation Herstellungskosten'!U348</f>
        <v>0</v>
      </c>
      <c r="N10" s="283">
        <f>'Kalkulation Herstellungskosten'!V348</f>
        <v>0</v>
      </c>
      <c r="O10" s="976">
        <f t="shared" si="0"/>
        <v>0</v>
      </c>
      <c r="P10" s="383">
        <f>'Kalkulation Herstellungskosten'!X348</f>
        <v>0</v>
      </c>
      <c r="Q10" s="982">
        <f>'Kalkulation Herstellungskosten'!Y348</f>
        <v>0</v>
      </c>
      <c r="R10" s="383">
        <f>'Kalkulation Herstellungskosten'!Z348</f>
        <v>0</v>
      </c>
      <c r="S10" s="982">
        <f>'Kalkulation Herstellungskosten'!AA348</f>
        <v>0</v>
      </c>
      <c r="T10" s="987"/>
      <c r="U10" s="290"/>
      <c r="V10" s="283">
        <f>'Kalkulation Herstellungskosten'!AD348</f>
        <v>0</v>
      </c>
      <c r="W10" s="190"/>
      <c r="X10" s="283">
        <f>'Kalkulation Herstellungskosten'!AE348</f>
        <v>0</v>
      </c>
      <c r="Y10" s="190"/>
      <c r="Z10" s="283">
        <f>'Kalkulation Herstellungskosten'!AF348</f>
        <v>0</v>
      </c>
      <c r="AA10" s="190"/>
      <c r="AB10" s="283"/>
      <c r="AC10" s="283">
        <f t="shared" si="1"/>
        <v>0</v>
      </c>
      <c r="AD10" s="283">
        <f t="shared" si="2"/>
        <v>0</v>
      </c>
      <c r="AE10" s="265"/>
      <c r="AF10" s="283"/>
      <c r="AG10" s="283"/>
      <c r="AH10" s="283" t="s">
        <v>10</v>
      </c>
      <c r="AI10" s="283" t="s">
        <v>443</v>
      </c>
      <c r="AJ10" s="283"/>
      <c r="AK10" s="283"/>
      <c r="AL10" s="283"/>
      <c r="AM10" s="265"/>
      <c r="AN10" s="265"/>
      <c r="AO10" s="265"/>
      <c r="AP10" s="265"/>
      <c r="AQ10" s="265"/>
      <c r="AR10" s="265"/>
      <c r="AS10" s="265"/>
      <c r="AT10" s="218"/>
      <c r="AU10" s="218"/>
      <c r="AV10" s="218"/>
      <c r="AW10" s="218"/>
      <c r="AX10" s="218"/>
      <c r="AY10" s="265"/>
      <c r="AZ10" s="265"/>
      <c r="BA10" s="265"/>
      <c r="BB10" s="265"/>
      <c r="BC10" s="265"/>
      <c r="BD10" s="265"/>
      <c r="BE10" s="265"/>
      <c r="BF10" s="265"/>
      <c r="BG10" s="265"/>
      <c r="BH10" s="265"/>
      <c r="BI10" s="265"/>
      <c r="BJ10" s="265"/>
      <c r="BK10" s="265"/>
    </row>
    <row r="11" spans="1:63" s="8" customFormat="1" ht="15" customHeight="1" x14ac:dyDescent="0.2">
      <c r="A11" s="280" t="s">
        <v>11</v>
      </c>
      <c r="B11" s="286" t="str">
        <f>IF(Stammblatt!$L$4=1,AH11,AI11)</f>
        <v>Schnitt, Synchronisation, Mischung</v>
      </c>
      <c r="C11" s="282"/>
      <c r="D11" s="283">
        <f>ZS_7_Schnitt_Sync_Mischung</f>
        <v>0</v>
      </c>
      <c r="E11" s="284">
        <f>'Kalkulation Herstellungskosten'!L367</f>
        <v>0</v>
      </c>
      <c r="F11" s="285">
        <f>'Kalkulation Herstellungskosten'!M367</f>
        <v>0</v>
      </c>
      <c r="G11" s="1031">
        <f>'Kalkulation Herstellungskosten'!O367</f>
        <v>0</v>
      </c>
      <c r="H11" s="383">
        <f>'Kalkulation Herstellungskosten'!P367</f>
        <v>0</v>
      </c>
      <c r="I11" s="1033">
        <f>'Kalkulation Herstellungskosten'!Q367</f>
        <v>0</v>
      </c>
      <c r="J11" s="1035">
        <f>'Kalkulation Herstellungskosten'!R367</f>
        <v>0</v>
      </c>
      <c r="K11" s="218"/>
      <c r="L11" s="975">
        <f>'Kalkulation Herstellungskosten'!T367</f>
        <v>0</v>
      </c>
      <c r="M11" s="283">
        <f>'Kalkulation Herstellungskosten'!U367</f>
        <v>0</v>
      </c>
      <c r="N11" s="283">
        <f>'Kalkulation Herstellungskosten'!V367</f>
        <v>0</v>
      </c>
      <c r="O11" s="976">
        <f t="shared" si="0"/>
        <v>0</v>
      </c>
      <c r="P11" s="383">
        <f>'Kalkulation Herstellungskosten'!X367</f>
        <v>0</v>
      </c>
      <c r="Q11" s="982">
        <f>'Kalkulation Herstellungskosten'!Y367</f>
        <v>0</v>
      </c>
      <c r="R11" s="383">
        <f>'Kalkulation Herstellungskosten'!Z367</f>
        <v>0</v>
      </c>
      <c r="S11" s="982">
        <f>'Kalkulation Herstellungskosten'!AA367</f>
        <v>0</v>
      </c>
      <c r="T11" s="987"/>
      <c r="U11" s="290"/>
      <c r="V11" s="283">
        <f>'Kalkulation Herstellungskosten'!AD367</f>
        <v>0</v>
      </c>
      <c r="W11" s="190"/>
      <c r="X11" s="283">
        <f>'Kalkulation Herstellungskosten'!AE367</f>
        <v>0</v>
      </c>
      <c r="Y11" s="190"/>
      <c r="Z11" s="283">
        <f>'Kalkulation Herstellungskosten'!AF367</f>
        <v>0</v>
      </c>
      <c r="AA11" s="190"/>
      <c r="AB11" s="283"/>
      <c r="AC11" s="283">
        <f t="shared" si="1"/>
        <v>0</v>
      </c>
      <c r="AD11" s="283">
        <f t="shared" si="2"/>
        <v>0</v>
      </c>
      <c r="AE11" s="265"/>
      <c r="AF11" s="283"/>
      <c r="AG11" s="283"/>
      <c r="AH11" s="283" t="s">
        <v>12</v>
      </c>
      <c r="AI11" s="283" t="s">
        <v>444</v>
      </c>
      <c r="AJ11" s="283"/>
      <c r="AK11" s="283"/>
      <c r="AL11" s="283"/>
      <c r="AM11" s="265"/>
      <c r="AN11" s="265"/>
      <c r="AO11" s="265"/>
      <c r="AP11" s="265"/>
      <c r="AQ11" s="265"/>
      <c r="AR11" s="265"/>
      <c r="AS11" s="265"/>
      <c r="AT11" s="218"/>
      <c r="AU11" s="218"/>
      <c r="AV11" s="218"/>
      <c r="AW11" s="218"/>
      <c r="AX11" s="218"/>
      <c r="AY11" s="265"/>
      <c r="AZ11" s="265"/>
      <c r="BA11" s="265"/>
      <c r="BB11" s="265"/>
      <c r="BC11" s="265"/>
      <c r="BD11" s="265"/>
      <c r="BE11" s="265"/>
      <c r="BF11" s="265"/>
      <c r="BG11" s="265"/>
      <c r="BH11" s="265"/>
      <c r="BI11" s="265"/>
      <c r="BJ11" s="265"/>
      <c r="BK11" s="265"/>
    </row>
    <row r="12" spans="1:63" s="8" customFormat="1" ht="15" customHeight="1" x14ac:dyDescent="0.2">
      <c r="A12" s="280" t="s">
        <v>13</v>
      </c>
      <c r="B12" s="286" t="str">
        <f>IF(Stammblatt!$L$4=1,AH12,AI12)</f>
        <v>Bild, Ton, Bearbeitung</v>
      </c>
      <c r="C12" s="282"/>
      <c r="D12" s="283">
        <f>ZS_8_Bild_Ton_Bearbeitung</f>
        <v>0</v>
      </c>
      <c r="E12" s="284">
        <f>'Kalkulation Herstellungskosten'!L397</f>
        <v>0</v>
      </c>
      <c r="F12" s="285">
        <f>'Kalkulation Herstellungskosten'!M397</f>
        <v>0</v>
      </c>
      <c r="G12" s="1031">
        <f>'Kalkulation Herstellungskosten'!O397</f>
        <v>0</v>
      </c>
      <c r="H12" s="383">
        <f>'Kalkulation Herstellungskosten'!P397</f>
        <v>0</v>
      </c>
      <c r="I12" s="1033">
        <f>'Kalkulation Herstellungskosten'!Q397</f>
        <v>0</v>
      </c>
      <c r="J12" s="1035">
        <f>'Kalkulation Herstellungskosten'!R397</f>
        <v>0</v>
      </c>
      <c r="K12" s="218"/>
      <c r="L12" s="975">
        <f>'Kalkulation Herstellungskosten'!T397</f>
        <v>0</v>
      </c>
      <c r="M12" s="283">
        <f>'Kalkulation Herstellungskosten'!U397</f>
        <v>0</v>
      </c>
      <c r="N12" s="283">
        <f>'Kalkulation Herstellungskosten'!V397</f>
        <v>0</v>
      </c>
      <c r="O12" s="976">
        <f t="shared" si="0"/>
        <v>0</v>
      </c>
      <c r="P12" s="383">
        <f>'Kalkulation Herstellungskosten'!X397</f>
        <v>0</v>
      </c>
      <c r="Q12" s="982">
        <f>'Kalkulation Herstellungskosten'!Y397</f>
        <v>0</v>
      </c>
      <c r="R12" s="383">
        <f>'Kalkulation Herstellungskosten'!Z397</f>
        <v>0</v>
      </c>
      <c r="S12" s="982">
        <f>'Kalkulation Herstellungskosten'!AA397</f>
        <v>0</v>
      </c>
      <c r="T12" s="987"/>
      <c r="U12" s="290"/>
      <c r="V12" s="283">
        <f>'Kalkulation Herstellungskosten'!AD397</f>
        <v>0</v>
      </c>
      <c r="W12" s="160"/>
      <c r="X12" s="283">
        <f>'Kalkulation Herstellungskosten'!AE397</f>
        <v>0</v>
      </c>
      <c r="Y12" s="160"/>
      <c r="Z12" s="283">
        <f>'Kalkulation Herstellungskosten'!AF397</f>
        <v>0</v>
      </c>
      <c r="AA12" s="160"/>
      <c r="AB12" s="283"/>
      <c r="AC12" s="283">
        <f t="shared" si="1"/>
        <v>0</v>
      </c>
      <c r="AD12" s="283">
        <f t="shared" si="2"/>
        <v>0</v>
      </c>
      <c r="AE12" s="265"/>
      <c r="AF12" s="283"/>
      <c r="AG12" s="283"/>
      <c r="AH12" s="283" t="s">
        <v>14</v>
      </c>
      <c r="AI12" s="283" t="s">
        <v>278</v>
      </c>
      <c r="AJ12" s="283"/>
      <c r="AK12" s="283"/>
      <c r="AL12" s="283"/>
      <c r="AM12" s="265"/>
      <c r="AN12" s="265"/>
      <c r="AO12" s="265"/>
      <c r="AP12" s="265"/>
      <c r="AQ12" s="265"/>
      <c r="AR12" s="265"/>
      <c r="AS12" s="265"/>
      <c r="AT12" s="218"/>
      <c r="AU12" s="218"/>
      <c r="AV12" s="218"/>
      <c r="AW12" s="218"/>
      <c r="AX12" s="218"/>
      <c r="AY12" s="265"/>
      <c r="AZ12" s="265"/>
      <c r="BA12" s="265"/>
      <c r="BB12" s="265"/>
      <c r="BC12" s="265"/>
      <c r="BD12" s="265"/>
      <c r="BE12" s="265"/>
      <c r="BF12" s="265"/>
      <c r="BG12" s="265"/>
      <c r="BH12" s="265"/>
      <c r="BI12" s="265"/>
      <c r="BJ12" s="265"/>
      <c r="BK12" s="265"/>
    </row>
    <row r="13" spans="1:63" s="8" customFormat="1" ht="15" customHeight="1" x14ac:dyDescent="0.2">
      <c r="A13" s="280" t="s">
        <v>15</v>
      </c>
      <c r="B13" s="286" t="str">
        <f>IF(Stammblatt!$L$4=1,AH13,AI13)</f>
        <v>Versicherungen</v>
      </c>
      <c r="C13" s="282"/>
      <c r="D13" s="283">
        <f>ZS_9_Versicherungen</f>
        <v>0</v>
      </c>
      <c r="E13" s="284">
        <f>'Kalkulation Herstellungskosten'!L410</f>
        <v>0</v>
      </c>
      <c r="F13" s="285">
        <f>'Kalkulation Herstellungskosten'!M410</f>
        <v>0</v>
      </c>
      <c r="G13" s="1031">
        <f>'Kalkulation Herstellungskosten'!O410</f>
        <v>0</v>
      </c>
      <c r="H13" s="383">
        <f>'Kalkulation Herstellungskosten'!P410</f>
        <v>0</v>
      </c>
      <c r="I13" s="1033">
        <f>'Kalkulation Herstellungskosten'!Q410</f>
        <v>0</v>
      </c>
      <c r="J13" s="1035">
        <f>'Kalkulation Herstellungskosten'!R410</f>
        <v>0</v>
      </c>
      <c r="K13" s="218"/>
      <c r="L13" s="975">
        <f>'Kalkulation Herstellungskosten'!T410</f>
        <v>0</v>
      </c>
      <c r="M13" s="283">
        <f>'Kalkulation Herstellungskosten'!U410</f>
        <v>0</v>
      </c>
      <c r="N13" s="283">
        <f>'Kalkulation Herstellungskosten'!V410</f>
        <v>0</v>
      </c>
      <c r="O13" s="976">
        <f t="shared" si="0"/>
        <v>0</v>
      </c>
      <c r="P13" s="383">
        <f>'Kalkulation Herstellungskosten'!X410</f>
        <v>0</v>
      </c>
      <c r="Q13" s="982">
        <f>'Kalkulation Herstellungskosten'!Y410</f>
        <v>0</v>
      </c>
      <c r="R13" s="383">
        <f>'Kalkulation Herstellungskosten'!Z410</f>
        <v>0</v>
      </c>
      <c r="S13" s="982">
        <f>'Kalkulation Herstellungskosten'!AA410</f>
        <v>0</v>
      </c>
      <c r="T13" s="987"/>
      <c r="U13" s="290"/>
      <c r="V13" s="283">
        <f>'Kalkulation Herstellungskosten'!AD410</f>
        <v>0</v>
      </c>
      <c r="W13" s="160"/>
      <c r="X13" s="283">
        <f>'Kalkulation Herstellungskosten'!AE410</f>
        <v>0</v>
      </c>
      <c r="Y13" s="160"/>
      <c r="Z13" s="283">
        <f>'Kalkulation Herstellungskosten'!AF410</f>
        <v>0</v>
      </c>
      <c r="AA13" s="160"/>
      <c r="AB13" s="283"/>
      <c r="AC13" s="283">
        <f t="shared" si="1"/>
        <v>0</v>
      </c>
      <c r="AD13" s="283">
        <f t="shared" si="2"/>
        <v>0</v>
      </c>
      <c r="AE13" s="265"/>
      <c r="AF13" s="283"/>
      <c r="AG13" s="283"/>
      <c r="AH13" s="283" t="s">
        <v>16</v>
      </c>
      <c r="AI13" s="283" t="s">
        <v>279</v>
      </c>
      <c r="AJ13" s="283"/>
      <c r="AK13" s="283"/>
      <c r="AL13" s="283"/>
      <c r="AM13" s="265"/>
      <c r="AN13" s="265"/>
      <c r="AO13" s="265"/>
      <c r="AP13" s="265"/>
      <c r="AQ13" s="265"/>
      <c r="AR13" s="265"/>
      <c r="AS13" s="265"/>
      <c r="AT13" s="218"/>
      <c r="AU13" s="218"/>
      <c r="AV13" s="218"/>
      <c r="AW13" s="218"/>
      <c r="AX13" s="218"/>
      <c r="AY13" s="265"/>
      <c r="AZ13" s="265"/>
      <c r="BA13" s="265"/>
      <c r="BB13" s="265"/>
      <c r="BC13" s="265"/>
      <c r="BD13" s="265"/>
      <c r="BE13" s="265"/>
      <c r="BF13" s="265"/>
      <c r="BG13" s="265"/>
      <c r="BH13" s="265"/>
      <c r="BI13" s="265"/>
      <c r="BJ13" s="265"/>
      <c r="BK13" s="265"/>
    </row>
    <row r="14" spans="1:63" s="8" customFormat="1" ht="15" customHeight="1" x14ac:dyDescent="0.2">
      <c r="A14" s="280" t="s">
        <v>17</v>
      </c>
      <c r="B14" s="286" t="str">
        <f>IF(Stammblatt!$L$4=1,AH14,AI14)</f>
        <v>Reise-, Beförderungs- und Transportkosten</v>
      </c>
      <c r="C14" s="282"/>
      <c r="D14" s="283">
        <f>ZS_10_Reisekosten</f>
        <v>0</v>
      </c>
      <c r="E14" s="284">
        <f>'Kalkulation Herstellungskosten'!L418</f>
        <v>0</v>
      </c>
      <c r="F14" s="285">
        <f>'Kalkulation Herstellungskosten'!M418</f>
        <v>0</v>
      </c>
      <c r="G14" s="1031">
        <f>'Kalkulation Herstellungskosten'!O418</f>
        <v>0</v>
      </c>
      <c r="H14" s="383">
        <f>'Kalkulation Herstellungskosten'!P418</f>
        <v>0</v>
      </c>
      <c r="I14" s="1033">
        <f>'Kalkulation Herstellungskosten'!Q418</f>
        <v>0</v>
      </c>
      <c r="J14" s="1035">
        <f>'Kalkulation Herstellungskosten'!R418</f>
        <v>0</v>
      </c>
      <c r="K14" s="218"/>
      <c r="L14" s="975">
        <f>'Kalkulation Herstellungskosten'!T418</f>
        <v>0</v>
      </c>
      <c r="M14" s="283">
        <f>'Kalkulation Herstellungskosten'!U418</f>
        <v>0</v>
      </c>
      <c r="N14" s="283">
        <f>'Kalkulation Herstellungskosten'!V418</f>
        <v>0</v>
      </c>
      <c r="O14" s="976">
        <f t="shared" si="0"/>
        <v>0</v>
      </c>
      <c r="P14" s="383">
        <f>'Kalkulation Herstellungskosten'!X418</f>
        <v>0</v>
      </c>
      <c r="Q14" s="982">
        <f>'Kalkulation Herstellungskosten'!Y418</f>
        <v>0</v>
      </c>
      <c r="R14" s="383">
        <f>'Kalkulation Herstellungskosten'!Z418</f>
        <v>0</v>
      </c>
      <c r="S14" s="982">
        <f>'Kalkulation Herstellungskosten'!AA418</f>
        <v>0</v>
      </c>
      <c r="T14" s="987"/>
      <c r="U14" s="290"/>
      <c r="V14" s="283">
        <f>'Kalkulation Herstellungskosten'!AD418</f>
        <v>0</v>
      </c>
      <c r="W14" s="190"/>
      <c r="X14" s="283">
        <f>'Kalkulation Herstellungskosten'!AE418</f>
        <v>0</v>
      </c>
      <c r="Y14" s="190"/>
      <c r="Z14" s="283">
        <f>'Kalkulation Herstellungskosten'!AF418</f>
        <v>0</v>
      </c>
      <c r="AA14" s="190"/>
      <c r="AB14" s="283"/>
      <c r="AC14" s="283">
        <f t="shared" si="1"/>
        <v>0</v>
      </c>
      <c r="AD14" s="283">
        <f t="shared" si="2"/>
        <v>0</v>
      </c>
      <c r="AE14" s="265"/>
      <c r="AF14" s="283"/>
      <c r="AG14" s="283"/>
      <c r="AH14" s="283" t="s">
        <v>18</v>
      </c>
      <c r="AI14" s="283" t="s">
        <v>449</v>
      </c>
      <c r="AJ14" s="283"/>
      <c r="AK14" s="283"/>
      <c r="AL14" s="283"/>
      <c r="AM14" s="265"/>
      <c r="AN14" s="265"/>
      <c r="AO14" s="265"/>
      <c r="AP14" s="265"/>
      <c r="AQ14" s="265"/>
      <c r="AR14" s="265"/>
      <c r="AS14" s="265"/>
      <c r="AT14" s="218"/>
      <c r="AU14" s="218"/>
      <c r="AV14" s="218"/>
      <c r="AW14" s="218"/>
      <c r="AX14" s="218"/>
      <c r="AY14" s="265"/>
      <c r="AZ14" s="265"/>
      <c r="BA14" s="265"/>
      <c r="BB14" s="265"/>
      <c r="BC14" s="265"/>
      <c r="BD14" s="265"/>
      <c r="BE14" s="265"/>
      <c r="BF14" s="265"/>
      <c r="BG14" s="265"/>
      <c r="BH14" s="265"/>
      <c r="BI14" s="265"/>
      <c r="BJ14" s="265"/>
      <c r="BK14" s="265"/>
    </row>
    <row r="15" spans="1:63" s="8" customFormat="1" ht="15" customHeight="1" x14ac:dyDescent="0.2">
      <c r="A15" s="280" t="s">
        <v>19</v>
      </c>
      <c r="B15" s="286" t="str">
        <f>IF(Stammblatt!$L$4=1,AH15,AI15)</f>
        <v>Allgemeine Kosten</v>
      </c>
      <c r="C15" s="282"/>
      <c r="D15" s="283">
        <f>ZS_11_Allgemeine_Kosten</f>
        <v>0</v>
      </c>
      <c r="E15" s="284">
        <f>'Kalkulation Herstellungskosten'!L435</f>
        <v>0</v>
      </c>
      <c r="F15" s="285">
        <f>'Kalkulation Herstellungskosten'!M435</f>
        <v>0</v>
      </c>
      <c r="G15" s="1031">
        <f>'Kalkulation Herstellungskosten'!O435</f>
        <v>0</v>
      </c>
      <c r="H15" s="383">
        <f>'Kalkulation Herstellungskosten'!P435</f>
        <v>0</v>
      </c>
      <c r="I15" s="1033">
        <f>'Kalkulation Herstellungskosten'!Q435</f>
        <v>0</v>
      </c>
      <c r="J15" s="1035">
        <f>'Kalkulation Herstellungskosten'!R435</f>
        <v>0</v>
      </c>
      <c r="K15" s="218"/>
      <c r="L15" s="975">
        <f>'Kalkulation Herstellungskosten'!T435</f>
        <v>0</v>
      </c>
      <c r="M15" s="283">
        <f>'Kalkulation Herstellungskosten'!U435</f>
        <v>0</v>
      </c>
      <c r="N15" s="283">
        <f>'Kalkulation Herstellungskosten'!V435</f>
        <v>0</v>
      </c>
      <c r="O15" s="976">
        <f t="shared" si="0"/>
        <v>0</v>
      </c>
      <c r="P15" s="383">
        <f>'Kalkulation Herstellungskosten'!X435</f>
        <v>0</v>
      </c>
      <c r="Q15" s="982">
        <f>'Kalkulation Herstellungskosten'!Y435</f>
        <v>0</v>
      </c>
      <c r="R15" s="383">
        <f>'Kalkulation Herstellungskosten'!Z435</f>
        <v>0</v>
      </c>
      <c r="S15" s="982">
        <f>'Kalkulation Herstellungskosten'!AA435</f>
        <v>0</v>
      </c>
      <c r="T15" s="987"/>
      <c r="U15" s="290"/>
      <c r="V15" s="283">
        <f>'Kalkulation Herstellungskosten'!AD435</f>
        <v>0</v>
      </c>
      <c r="W15" s="190"/>
      <c r="X15" s="283">
        <f>'Kalkulation Herstellungskosten'!AE435</f>
        <v>0</v>
      </c>
      <c r="Y15" s="190"/>
      <c r="Z15" s="283">
        <f>'Kalkulation Herstellungskosten'!AF435</f>
        <v>0</v>
      </c>
      <c r="AA15" s="190"/>
      <c r="AB15" s="283"/>
      <c r="AC15" s="283">
        <f t="shared" si="1"/>
        <v>0</v>
      </c>
      <c r="AD15" s="283">
        <f t="shared" si="2"/>
        <v>0</v>
      </c>
      <c r="AE15" s="265"/>
      <c r="AF15" s="283"/>
      <c r="AG15" s="283"/>
      <c r="AH15" s="283" t="s">
        <v>20</v>
      </c>
      <c r="AI15" s="283" t="s">
        <v>452</v>
      </c>
      <c r="AJ15" s="283"/>
      <c r="AK15" s="283"/>
      <c r="AL15" s="283"/>
      <c r="AM15" s="265"/>
      <c r="AN15" s="265"/>
      <c r="AO15" s="265"/>
      <c r="AP15" s="265"/>
      <c r="AQ15" s="265"/>
      <c r="AR15" s="265"/>
      <c r="AS15" s="265"/>
      <c r="AT15" s="218"/>
      <c r="AU15" s="218"/>
      <c r="AV15" s="218"/>
      <c r="AW15" s="218"/>
      <c r="AX15" s="218"/>
      <c r="AY15" s="265"/>
      <c r="AZ15" s="265"/>
      <c r="BA15" s="265"/>
      <c r="BB15" s="265"/>
      <c r="BC15" s="265"/>
      <c r="BD15" s="265"/>
      <c r="BE15" s="265"/>
      <c r="BF15" s="265"/>
      <c r="BG15" s="265"/>
      <c r="BH15" s="265"/>
      <c r="BI15" s="265"/>
      <c r="BJ15" s="265"/>
      <c r="BK15" s="265"/>
    </row>
    <row r="16" spans="1:63" s="8" customFormat="1" ht="15" customHeight="1" thickBot="1" x14ac:dyDescent="0.25">
      <c r="A16" s="280" t="s">
        <v>21</v>
      </c>
      <c r="B16" s="286" t="str">
        <f>IF(Stammblatt!$L$4=1,AH16,AI16)</f>
        <v>Kostenmindernde Erträge</v>
      </c>
      <c r="C16" s="282"/>
      <c r="D16" s="287">
        <f>ZS_12_Kostenmindernde_Erträge</f>
        <v>0</v>
      </c>
      <c r="E16" s="288">
        <f>'Kalkulation Herstellungskosten'!L445</f>
        <v>0</v>
      </c>
      <c r="F16" s="289">
        <f>'Kalkulation Herstellungskosten'!M445</f>
        <v>0</v>
      </c>
      <c r="G16" s="1032">
        <f>'Kalkulation Herstellungskosten'!O445</f>
        <v>0</v>
      </c>
      <c r="H16" s="383">
        <f>'Kalkulation Herstellungskosten'!P445</f>
        <v>0</v>
      </c>
      <c r="I16" s="1033">
        <f>'Kalkulation Herstellungskosten'!Q445</f>
        <v>0</v>
      </c>
      <c r="J16" s="1035">
        <f>'Kalkulation Herstellungskosten'!R445</f>
        <v>0</v>
      </c>
      <c r="K16" s="218"/>
      <c r="L16" s="975">
        <f>'Kalkulation Herstellungskosten'!T445</f>
        <v>0</v>
      </c>
      <c r="M16" s="283">
        <f>'Kalkulation Herstellungskosten'!U445</f>
        <v>0</v>
      </c>
      <c r="N16" s="283">
        <f>'Kalkulation Herstellungskosten'!V445</f>
        <v>0</v>
      </c>
      <c r="O16" s="976">
        <f t="shared" si="0"/>
        <v>0</v>
      </c>
      <c r="P16" s="384">
        <f>'Kalkulation Herstellungskosten'!X445</f>
        <v>0</v>
      </c>
      <c r="Q16" s="983">
        <f>'Kalkulation Herstellungskosten'!Y445</f>
        <v>0</v>
      </c>
      <c r="R16" s="383">
        <f>'Kalkulation Herstellungskosten'!Z445</f>
        <v>0</v>
      </c>
      <c r="S16" s="983">
        <f>'Kalkulation Herstellungskosten'!AA445</f>
        <v>0</v>
      </c>
      <c r="T16" s="987"/>
      <c r="U16" s="290"/>
      <c r="V16" s="287">
        <f>'Kalkulation Herstellungskosten'!AD445</f>
        <v>0</v>
      </c>
      <c r="W16" s="160"/>
      <c r="X16" s="287">
        <f>'Kalkulation Herstellungskosten'!AE445</f>
        <v>0</v>
      </c>
      <c r="Y16" s="160"/>
      <c r="Z16" s="287">
        <f>'Kalkulation Herstellungskosten'!AF445</f>
        <v>0</v>
      </c>
      <c r="AA16" s="160"/>
      <c r="AB16" s="287"/>
      <c r="AC16" s="283">
        <f t="shared" si="1"/>
        <v>0</v>
      </c>
      <c r="AD16" s="283">
        <f t="shared" si="2"/>
        <v>0</v>
      </c>
      <c r="AE16" s="265"/>
      <c r="AF16" s="283"/>
      <c r="AG16" s="283"/>
      <c r="AH16" s="283" t="s">
        <v>22</v>
      </c>
      <c r="AI16" s="283" t="s">
        <v>435</v>
      </c>
      <c r="AJ16" s="283"/>
      <c r="AK16" s="283"/>
      <c r="AL16" s="283"/>
      <c r="AM16" s="265"/>
      <c r="AN16" s="265"/>
      <c r="AO16" s="265"/>
      <c r="AP16" s="265"/>
      <c r="AQ16" s="265"/>
      <c r="AR16" s="265"/>
      <c r="AS16" s="265"/>
      <c r="AT16" s="218"/>
      <c r="AU16" s="218"/>
      <c r="AV16" s="218"/>
      <c r="AW16" s="218"/>
      <c r="AX16" s="218"/>
      <c r="AY16" s="265"/>
      <c r="AZ16" s="265"/>
      <c r="BA16" s="265"/>
      <c r="BB16" s="265"/>
      <c r="BC16" s="265"/>
      <c r="BD16" s="265"/>
      <c r="BE16" s="265"/>
      <c r="BF16" s="265"/>
      <c r="BG16" s="265"/>
      <c r="BH16" s="265"/>
      <c r="BI16" s="265"/>
      <c r="BJ16" s="265"/>
      <c r="BK16" s="265"/>
    </row>
    <row r="17" spans="1:63" s="8" customFormat="1" ht="21" customHeight="1" thickBot="1" x14ac:dyDescent="0.25">
      <c r="A17" s="20" t="s">
        <v>23</v>
      </c>
      <c r="B17" s="21" t="str">
        <f>IF(Stammblatt!$L$4=1,AH17,AI17)</f>
        <v>Fertigungskosten</v>
      </c>
      <c r="C17" s="22"/>
      <c r="D17" s="146">
        <f ca="1">SUM(D5:D16)</f>
        <v>0</v>
      </c>
      <c r="E17" s="147">
        <f>SUM(E5:E16)</f>
        <v>0</v>
      </c>
      <c r="F17" s="148">
        <f>SUM(F5:F16)</f>
        <v>0</v>
      </c>
      <c r="G17" s="146">
        <f t="shared" ref="G17:N17" si="3">SUM(G5:G16)</f>
        <v>0</v>
      </c>
      <c r="H17" s="146">
        <f>SUM(H5:H16)</f>
        <v>0</v>
      </c>
      <c r="I17" s="146">
        <f t="shared" si="3"/>
        <v>0</v>
      </c>
      <c r="J17" s="146">
        <f t="shared" si="3"/>
        <v>0</v>
      </c>
      <c r="K17" s="218"/>
      <c r="L17" s="1049">
        <f t="shared" si="3"/>
        <v>0</v>
      </c>
      <c r="M17" s="146">
        <f t="shared" si="3"/>
        <v>0</v>
      </c>
      <c r="N17" s="146">
        <f t="shared" si="3"/>
        <v>0</v>
      </c>
      <c r="O17" s="990">
        <f ca="1">NFK-N17</f>
        <v>0</v>
      </c>
      <c r="P17" s="146">
        <f>SUM(P5:P16)</f>
        <v>0</v>
      </c>
      <c r="Q17" s="989">
        <f>SUM(Q5:Q16)</f>
        <v>0</v>
      </c>
      <c r="R17" s="146">
        <f t="shared" ref="R17:S17" si="4">SUM(R5:R16)</f>
        <v>0</v>
      </c>
      <c r="S17" s="989">
        <f t="shared" si="4"/>
        <v>0</v>
      </c>
      <c r="T17" s="987"/>
      <c r="U17" s="290"/>
      <c r="V17" s="146">
        <f t="shared" ref="V17:AA17" si="5">SUM(V5:V16)</f>
        <v>0</v>
      </c>
      <c r="W17" s="146">
        <f t="shared" si="5"/>
        <v>0</v>
      </c>
      <c r="X17" s="146">
        <f t="shared" si="5"/>
        <v>0</v>
      </c>
      <c r="Y17" s="146">
        <f t="shared" si="5"/>
        <v>0</v>
      </c>
      <c r="Z17" s="146">
        <f t="shared" si="5"/>
        <v>0</v>
      </c>
      <c r="AA17" s="146">
        <f t="shared" si="5"/>
        <v>0</v>
      </c>
      <c r="AB17" s="146"/>
      <c r="AC17" s="146">
        <f ca="1">SUM(D17,V17,X17,Z17)</f>
        <v>0</v>
      </c>
      <c r="AD17" s="146">
        <f>SUM(N17,W17,Y17,AA17)</f>
        <v>0</v>
      </c>
      <c r="AE17" s="265"/>
      <c r="AF17" s="283"/>
      <c r="AG17" s="283"/>
      <c r="AH17" s="283" t="s">
        <v>260</v>
      </c>
      <c r="AI17" s="283" t="s">
        <v>284</v>
      </c>
      <c r="AJ17" s="283"/>
      <c r="AK17" s="283"/>
      <c r="AL17" s="283"/>
      <c r="AM17" s="265"/>
      <c r="AN17" s="265"/>
      <c r="AO17" s="265"/>
      <c r="AP17" s="265"/>
      <c r="AQ17" s="265"/>
      <c r="AR17" s="265"/>
      <c r="AS17" s="265"/>
      <c r="AT17" s="218"/>
      <c r="AU17" s="218"/>
      <c r="AV17" s="218"/>
      <c r="AW17" s="218"/>
      <c r="AX17" s="218"/>
      <c r="AY17" s="265"/>
      <c r="AZ17" s="265"/>
      <c r="BA17" s="265"/>
      <c r="BB17" s="265"/>
      <c r="BC17" s="265"/>
      <c r="BD17" s="265"/>
      <c r="BE17" s="265"/>
      <c r="BF17" s="265"/>
      <c r="BG17" s="265"/>
      <c r="BH17" s="265"/>
      <c r="BI17" s="265"/>
      <c r="BJ17" s="265"/>
      <c r="BK17" s="265"/>
    </row>
    <row r="18" spans="1:63" s="8" customFormat="1" ht="15" customHeight="1" x14ac:dyDescent="0.2">
      <c r="A18" s="280" t="s">
        <v>24</v>
      </c>
      <c r="B18" s="286" t="str">
        <f>IF(Stammblatt!$L$4=1,AH18,AI18)</f>
        <v>Fertigungsgemeinkosten</v>
      </c>
      <c r="C18" s="282"/>
      <c r="D18" s="283">
        <f ca="1">IF(Stammblatt!I10=TRUE,NFK*7.5%,FGK)</f>
        <v>0</v>
      </c>
      <c r="E18" s="298" t="str">
        <f>IF(E17=0,"",E17/(E17+F17))</f>
        <v/>
      </c>
      <c r="F18" s="299" t="str">
        <f>IF(F17=0,"",F17/(E17+F17))</f>
        <v/>
      </c>
      <c r="G18" s="1031">
        <f ca="1">D18</f>
        <v>0</v>
      </c>
      <c r="H18" s="383">
        <f>IF(H17=0,0,IF(AND(Stammblatt!I7=TRUE,(Zusammenfassung!H17+Zusammenfassung!D18)&gt;=150000),D18,IF(AND(Stammblatt!I8=TRUE,(Zusammenfassung!H17+Zusammenfassung!D18)&gt;=80000),D18,0)))</f>
        <v>0</v>
      </c>
      <c r="I18" s="160"/>
      <c r="J18" s="160"/>
      <c r="K18" s="218"/>
      <c r="L18" s="191">
        <v>0</v>
      </c>
      <c r="M18" s="160">
        <v>0</v>
      </c>
      <c r="N18" s="283">
        <f>SUM(L18:M18)</f>
        <v>0</v>
      </c>
      <c r="O18" s="283">
        <f ca="1">D18-N18</f>
        <v>0</v>
      </c>
      <c r="P18" s="192">
        <v>0</v>
      </c>
      <c r="Q18" s="193">
        <v>0</v>
      </c>
      <c r="R18" s="192"/>
      <c r="S18" s="193"/>
      <c r="T18" s="987"/>
      <c r="U18" s="290"/>
      <c r="V18" s="160">
        <f>V17*7.5%</f>
        <v>0</v>
      </c>
      <c r="W18" s="160"/>
      <c r="X18" s="190">
        <v>0</v>
      </c>
      <c r="Y18" s="190"/>
      <c r="Z18" s="190">
        <v>0</v>
      </c>
      <c r="AA18" s="190"/>
      <c r="AB18" s="293"/>
      <c r="AC18" s="283">
        <f t="shared" ref="AC18:AC21" ca="1" si="6">SUM(D18,V18,X18,Z18)</f>
        <v>0</v>
      </c>
      <c r="AD18" s="283">
        <f t="shared" si="2"/>
        <v>0</v>
      </c>
      <c r="AE18" s="265"/>
      <c r="AF18" s="283"/>
      <c r="AG18" s="283"/>
      <c r="AH18" s="283" t="s">
        <v>25</v>
      </c>
      <c r="AI18" s="283" t="s">
        <v>281</v>
      </c>
      <c r="AJ18" s="283"/>
      <c r="AK18" s="283"/>
      <c r="AL18" s="283"/>
      <c r="AM18" s="265"/>
      <c r="AN18" s="265"/>
      <c r="AO18" s="265"/>
      <c r="AP18" s="265"/>
      <c r="AQ18" s="265"/>
      <c r="AR18" s="265"/>
      <c r="AS18" s="265"/>
      <c r="AT18" s="218"/>
      <c r="AU18" s="218"/>
      <c r="AV18" s="218"/>
      <c r="AW18" s="218"/>
      <c r="AX18" s="218"/>
      <c r="AY18" s="265"/>
      <c r="AZ18" s="265"/>
      <c r="BA18" s="265"/>
      <c r="BB18" s="265"/>
      <c r="BC18" s="265"/>
      <c r="BD18" s="265"/>
      <c r="BE18" s="265"/>
      <c r="BF18" s="265"/>
      <c r="BG18" s="265"/>
      <c r="BH18" s="265"/>
      <c r="BI18" s="265"/>
      <c r="BJ18" s="265"/>
      <c r="BK18" s="265"/>
    </row>
    <row r="19" spans="1:63" s="8" customFormat="1" ht="15" customHeight="1" thickBot="1" x14ac:dyDescent="0.25">
      <c r="A19" s="280" t="s">
        <v>26</v>
      </c>
      <c r="B19" s="286" t="str">
        <f>IF(Stammblatt!$L$4=1,AH19,AI19)</f>
        <v>Fertigstellungsversicherung (Completion Bond)</v>
      </c>
      <c r="C19" s="295"/>
      <c r="D19" s="183"/>
      <c r="E19" s="1146" t="str">
        <f>IF(OR(E17=0,F17=0),"",(E17+F17)/NFK)</f>
        <v/>
      </c>
      <c r="F19" s="1147"/>
      <c r="G19" s="190">
        <v>0</v>
      </c>
      <c r="H19" s="190">
        <v>0</v>
      </c>
      <c r="I19" s="190"/>
      <c r="J19" s="190"/>
      <c r="K19" s="218"/>
      <c r="L19" s="191">
        <v>0</v>
      </c>
      <c r="M19" s="190">
        <v>0</v>
      </c>
      <c r="N19" s="283">
        <f t="shared" ref="N19:N20" si="7">SUM(L19:M19)</f>
        <v>0</v>
      </c>
      <c r="O19" s="283">
        <f>Bond-N19</f>
        <v>0</v>
      </c>
      <c r="P19" s="160">
        <v>0</v>
      </c>
      <c r="Q19" s="193">
        <v>0</v>
      </c>
      <c r="R19" s="160"/>
      <c r="S19" s="193"/>
      <c r="T19" s="987"/>
      <c r="U19" s="290"/>
      <c r="V19" s="190">
        <v>0</v>
      </c>
      <c r="W19" s="190"/>
      <c r="X19" s="190">
        <v>0</v>
      </c>
      <c r="Y19" s="190"/>
      <c r="Z19" s="190">
        <v>0</v>
      </c>
      <c r="AA19" s="190"/>
      <c r="AB19" s="293"/>
      <c r="AC19" s="283">
        <f t="shared" si="6"/>
        <v>0</v>
      </c>
      <c r="AD19" s="283">
        <f t="shared" si="2"/>
        <v>0</v>
      </c>
      <c r="AE19" s="265"/>
      <c r="AF19" s="283"/>
      <c r="AG19" s="283"/>
      <c r="AH19" s="283" t="s">
        <v>30</v>
      </c>
      <c r="AI19" s="283" t="s">
        <v>282</v>
      </c>
      <c r="AJ19" s="283"/>
      <c r="AK19" s="283"/>
      <c r="AL19" s="283"/>
      <c r="AM19" s="265"/>
      <c r="AN19" s="265"/>
      <c r="AO19" s="265"/>
      <c r="AP19" s="265"/>
      <c r="AQ19" s="265"/>
      <c r="AR19" s="265"/>
      <c r="AS19" s="265"/>
      <c r="AT19" s="218"/>
      <c r="AU19" s="218"/>
      <c r="AV19" s="218"/>
      <c r="AW19" s="218"/>
      <c r="AX19" s="218"/>
      <c r="AY19" s="265"/>
      <c r="AZ19" s="265"/>
      <c r="BA19" s="265"/>
      <c r="BB19" s="265"/>
      <c r="BC19" s="265"/>
      <c r="BD19" s="265"/>
      <c r="BE19" s="265"/>
      <c r="BF19" s="265"/>
      <c r="BG19" s="265"/>
      <c r="BH19" s="265"/>
      <c r="BI19" s="265"/>
      <c r="BJ19" s="265"/>
      <c r="BK19" s="265"/>
    </row>
    <row r="20" spans="1:63" s="8" customFormat="1" ht="15" customHeight="1" x14ac:dyDescent="0.2">
      <c r="A20" s="280" t="s">
        <v>27</v>
      </c>
      <c r="B20" s="286" t="str">
        <f>IF(Stammblatt!$L$4=1,AH20,AI20)</f>
        <v>Kosten der Finanzierung *)</v>
      </c>
      <c r="C20" s="282"/>
      <c r="D20" s="183"/>
      <c r="E20" s="283"/>
      <c r="F20" s="283"/>
      <c r="G20" s="265"/>
      <c r="H20" s="190">
        <v>0</v>
      </c>
      <c r="I20" s="265"/>
      <c r="J20" s="265"/>
      <c r="K20" s="218"/>
      <c r="L20" s="191">
        <v>0</v>
      </c>
      <c r="M20" s="190">
        <v>0</v>
      </c>
      <c r="N20" s="283">
        <f t="shared" si="7"/>
        <v>0</v>
      </c>
      <c r="O20" s="283">
        <f>FinKosten-N20</f>
        <v>0</v>
      </c>
      <c r="P20" s="160">
        <v>0</v>
      </c>
      <c r="Q20" s="193">
        <v>0</v>
      </c>
      <c r="R20" s="160"/>
      <c r="S20" s="193"/>
      <c r="T20" s="987"/>
      <c r="U20" s="290"/>
      <c r="V20" s="190">
        <v>0</v>
      </c>
      <c r="W20" s="190"/>
      <c r="X20" s="190">
        <v>0</v>
      </c>
      <c r="Y20" s="190"/>
      <c r="Z20" s="190">
        <v>0</v>
      </c>
      <c r="AA20" s="190"/>
      <c r="AB20" s="293"/>
      <c r="AC20" s="283">
        <f t="shared" si="6"/>
        <v>0</v>
      </c>
      <c r="AD20" s="283">
        <f t="shared" si="2"/>
        <v>0</v>
      </c>
      <c r="AE20" s="265"/>
      <c r="AF20" s="283"/>
      <c r="AG20" s="283"/>
      <c r="AH20" s="283" t="s">
        <v>31</v>
      </c>
      <c r="AI20" s="283" t="s">
        <v>287</v>
      </c>
      <c r="AJ20" s="283"/>
      <c r="AK20" s="283"/>
      <c r="AL20" s="283"/>
      <c r="AM20" s="265"/>
      <c r="AN20" s="265"/>
      <c r="AO20" s="265"/>
      <c r="AP20" s="265"/>
      <c r="AQ20" s="265"/>
      <c r="AR20" s="265"/>
      <c r="AS20" s="265"/>
      <c r="AT20" s="218"/>
      <c r="AU20" s="218"/>
      <c r="AV20" s="218"/>
      <c r="AW20" s="218"/>
      <c r="AX20" s="218"/>
      <c r="AY20" s="265"/>
      <c r="AZ20" s="265"/>
      <c r="BA20" s="265"/>
      <c r="BB20" s="265"/>
      <c r="BC20" s="265"/>
      <c r="BD20" s="265"/>
      <c r="BE20" s="265"/>
      <c r="BF20" s="265"/>
      <c r="BG20" s="265"/>
      <c r="BH20" s="265"/>
      <c r="BI20" s="265"/>
      <c r="BJ20" s="265"/>
      <c r="BK20" s="265"/>
    </row>
    <row r="21" spans="1:63" s="7" customFormat="1" ht="15" customHeight="1" thickBot="1" x14ac:dyDescent="0.25">
      <c r="A21" s="280" t="s">
        <v>28</v>
      </c>
      <c r="B21" s="286" t="str">
        <f>IF(Stammblatt!$L$4=1,AH21,AI21)</f>
        <v>Überschreitungsreserve</v>
      </c>
      <c r="C21" s="189">
        <v>0.05</v>
      </c>
      <c r="D21" s="283">
        <f ca="1">ROUND(NFK*ÜR,-1)</f>
        <v>0</v>
      </c>
      <c r="E21" s="283"/>
      <c r="F21" s="283"/>
      <c r="G21" s="190"/>
      <c r="H21" s="1038">
        <f>H17*ÜR</f>
        <v>0</v>
      </c>
      <c r="I21" s="160"/>
      <c r="J21" s="160"/>
      <c r="K21" s="218"/>
      <c r="L21" s="191">
        <v>0</v>
      </c>
      <c r="M21" s="190">
        <v>0</v>
      </c>
      <c r="N21" s="283"/>
      <c r="O21" s="976"/>
      <c r="P21" s="976"/>
      <c r="Q21" s="977"/>
      <c r="R21" s="976"/>
      <c r="S21" s="977"/>
      <c r="T21" s="987"/>
      <c r="U21" s="290"/>
      <c r="V21" s="160">
        <v>0</v>
      </c>
      <c r="W21" s="160"/>
      <c r="X21" s="160">
        <f>ÜR*X17</f>
        <v>0</v>
      </c>
      <c r="Y21" s="160"/>
      <c r="Z21" s="160">
        <f>ÜR*Z17</f>
        <v>0</v>
      </c>
      <c r="AA21" s="160"/>
      <c r="AB21" s="293"/>
      <c r="AC21" s="283">
        <f t="shared" ca="1" si="6"/>
        <v>0</v>
      </c>
      <c r="AD21" s="283">
        <f t="shared" si="2"/>
        <v>0</v>
      </c>
      <c r="AE21" s="274"/>
      <c r="AF21" s="283"/>
      <c r="AG21" s="283"/>
      <c r="AH21" s="283" t="s">
        <v>125</v>
      </c>
      <c r="AI21" s="283" t="s">
        <v>283</v>
      </c>
      <c r="AJ21" s="283"/>
      <c r="AK21" s="283"/>
      <c r="AL21" s="283"/>
      <c r="AM21" s="274"/>
      <c r="AN21" s="274"/>
      <c r="AO21" s="274"/>
      <c r="AP21" s="274"/>
      <c r="AQ21" s="274"/>
      <c r="AR21" s="274"/>
      <c r="AS21" s="274"/>
      <c r="AT21" s="218"/>
      <c r="AU21" s="218"/>
      <c r="AV21" s="218"/>
      <c r="AW21" s="218"/>
      <c r="AX21" s="218"/>
      <c r="AY21" s="274"/>
      <c r="AZ21" s="274"/>
      <c r="BA21" s="274"/>
      <c r="BB21" s="274"/>
      <c r="BC21" s="274"/>
      <c r="BD21" s="274"/>
      <c r="BE21" s="274"/>
      <c r="BF21" s="274"/>
      <c r="BG21" s="274"/>
      <c r="BH21" s="274"/>
      <c r="BI21" s="274"/>
      <c r="BJ21" s="274"/>
      <c r="BK21" s="274"/>
    </row>
    <row r="22" spans="1:63" s="7" customFormat="1" ht="21" customHeight="1" thickBot="1" x14ac:dyDescent="0.25">
      <c r="A22" s="20" t="s">
        <v>29</v>
      </c>
      <c r="B22" s="21" t="str">
        <f>IF(Stammblatt!$L$4=1,AH22,AI22)</f>
        <v>Herstellungskosten</v>
      </c>
      <c r="C22" s="22"/>
      <c r="D22" s="146">
        <f ca="1">SUM(D17:D21)</f>
        <v>0</v>
      </c>
      <c r="E22" s="146"/>
      <c r="F22" s="146"/>
      <c r="G22" s="146">
        <f ca="1">SUM(G17:G21)</f>
        <v>0</v>
      </c>
      <c r="H22" s="146">
        <f>SUM(H17:H21)</f>
        <v>0</v>
      </c>
      <c r="I22" s="146">
        <f>SUM(I17:I21)</f>
        <v>0</v>
      </c>
      <c r="J22" s="146">
        <f>SUM(J17:J21)</f>
        <v>0</v>
      </c>
      <c r="K22" s="218"/>
      <c r="L22" s="1049">
        <f t="shared" ref="L22:S22" si="8">SUM(L17:L21)</f>
        <v>0</v>
      </c>
      <c r="M22" s="146">
        <f t="shared" si="8"/>
        <v>0</v>
      </c>
      <c r="N22" s="146">
        <f t="shared" si="8"/>
        <v>0</v>
      </c>
      <c r="O22" s="146">
        <f t="shared" ca="1" si="8"/>
        <v>0</v>
      </c>
      <c r="P22" s="146">
        <f t="shared" si="8"/>
        <v>0</v>
      </c>
      <c r="Q22" s="989">
        <f t="shared" si="8"/>
        <v>0</v>
      </c>
      <c r="R22" s="146">
        <f t="shared" si="8"/>
        <v>0</v>
      </c>
      <c r="S22" s="989">
        <f t="shared" si="8"/>
        <v>0</v>
      </c>
      <c r="T22" s="987"/>
      <c r="U22" s="290"/>
      <c r="V22" s="146">
        <f t="shared" ref="V22:AA22" si="9">SUM(V17:V21)</f>
        <v>0</v>
      </c>
      <c r="W22" s="146">
        <f t="shared" si="9"/>
        <v>0</v>
      </c>
      <c r="X22" s="146">
        <f t="shared" si="9"/>
        <v>0</v>
      </c>
      <c r="Y22" s="146">
        <f t="shared" si="9"/>
        <v>0</v>
      </c>
      <c r="Z22" s="146">
        <f t="shared" si="9"/>
        <v>0</v>
      </c>
      <c r="AA22" s="146">
        <f t="shared" si="9"/>
        <v>0</v>
      </c>
      <c r="AB22" s="146"/>
      <c r="AC22" s="146">
        <f ca="1">SUM(D22,V22,X22,Z22)</f>
        <v>0</v>
      </c>
      <c r="AD22" s="146">
        <f>SUM(N22,W22,Y22,AA22)</f>
        <v>0</v>
      </c>
      <c r="AE22" s="274"/>
      <c r="AF22" s="283"/>
      <c r="AG22" s="283"/>
      <c r="AH22" s="283" t="s">
        <v>261</v>
      </c>
      <c r="AI22" s="283" t="s">
        <v>285</v>
      </c>
      <c r="AJ22" s="283"/>
      <c r="AK22" s="283">
        <f>AD22*0.8</f>
        <v>0</v>
      </c>
      <c r="AL22" s="283"/>
      <c r="AM22" s="274"/>
      <c r="AN22" s="274"/>
      <c r="AO22" s="274"/>
      <c r="AP22" s="274"/>
      <c r="AQ22" s="274"/>
      <c r="AR22" s="274"/>
      <c r="AS22" s="274"/>
      <c r="AT22" s="218"/>
      <c r="AU22" s="218"/>
      <c r="AV22" s="218"/>
      <c r="AW22" s="218"/>
      <c r="AX22" s="218"/>
      <c r="AY22" s="274"/>
      <c r="AZ22" s="274"/>
      <c r="BA22" s="274"/>
      <c r="BB22" s="274"/>
      <c r="BC22" s="274"/>
      <c r="BD22" s="274"/>
      <c r="BE22" s="274"/>
      <c r="BF22" s="274"/>
      <c r="BG22" s="274"/>
      <c r="BH22" s="274"/>
      <c r="BI22" s="274"/>
      <c r="BJ22" s="274"/>
      <c r="BK22" s="274"/>
    </row>
    <row r="23" spans="1:63" s="7" customFormat="1" ht="15" customHeight="1" outlineLevel="1" x14ac:dyDescent="0.2">
      <c r="A23" s="280" t="s">
        <v>846</v>
      </c>
      <c r="B23" s="728" t="str">
        <f>IF(Stammblatt!$L$4=1,AH23,AI23)</f>
        <v>Mitteltransfer (Zu-/Abflüsse) **)</v>
      </c>
      <c r="C23" s="296"/>
      <c r="D23" s="160"/>
      <c r="E23" s="283"/>
      <c r="F23" s="283"/>
      <c r="G23" s="297"/>
      <c r="H23" s="1038">
        <f ca="1">IF(D23&lt;=(GHSTK-H22+100000),0,D23-(GHSTK-H22))</f>
        <v>0</v>
      </c>
      <c r="I23" s="297"/>
      <c r="J23" s="297"/>
      <c r="K23" s="218"/>
      <c r="L23" s="978"/>
      <c r="M23" s="274"/>
      <c r="N23" s="160"/>
      <c r="O23" s="274"/>
      <c r="P23" s="274"/>
      <c r="Q23" s="1098">
        <f>IF(N23&lt;=(N22-Q22+100000),0,N23-(N22-Q22))</f>
        <v>0</v>
      </c>
      <c r="R23" s="1097"/>
      <c r="S23" s="979"/>
      <c r="T23" s="987"/>
      <c r="U23" s="290"/>
      <c r="V23" s="160"/>
      <c r="W23" s="160"/>
      <c r="X23" s="160"/>
      <c r="Y23" s="160"/>
      <c r="Z23" s="160"/>
      <c r="AA23" s="160"/>
      <c r="AB23" s="290"/>
      <c r="AC23" s="283">
        <f t="shared" ref="AC23" si="10">SUM(D23,V23:Z23)</f>
        <v>0</v>
      </c>
      <c r="AD23" s="283">
        <f t="shared" si="2"/>
        <v>0</v>
      </c>
      <c r="AE23" s="274"/>
      <c r="AF23" s="283"/>
      <c r="AG23" s="283"/>
      <c r="AH23" s="283" t="s">
        <v>940</v>
      </c>
      <c r="AI23" s="283" t="s">
        <v>941</v>
      </c>
      <c r="AJ23" s="283"/>
      <c r="AK23" s="283"/>
      <c r="AL23" s="283"/>
      <c r="AM23" s="274"/>
      <c r="AN23" s="274"/>
      <c r="AO23" s="274"/>
      <c r="AP23" s="274"/>
      <c r="AQ23" s="274"/>
      <c r="AR23" s="274"/>
      <c r="AS23" s="274"/>
      <c r="AT23" s="218"/>
      <c r="AU23" s="218"/>
      <c r="AV23" s="218"/>
      <c r="AW23" s="218"/>
      <c r="AX23" s="218"/>
      <c r="AY23" s="274"/>
      <c r="AZ23" s="274"/>
      <c r="BA23" s="274"/>
      <c r="BB23" s="274"/>
      <c r="BC23" s="274"/>
      <c r="BD23" s="274"/>
      <c r="BE23" s="274"/>
      <c r="BF23" s="274"/>
      <c r="BG23" s="274"/>
      <c r="BH23" s="274"/>
      <c r="BI23" s="274"/>
      <c r="BJ23" s="274"/>
      <c r="BK23" s="274"/>
    </row>
    <row r="24" spans="1:63" s="9" customFormat="1" ht="15" customHeight="1" outlineLevel="1" thickBot="1" x14ac:dyDescent="0.25">
      <c r="A24" s="280" t="s">
        <v>938</v>
      </c>
      <c r="B24" s="728" t="str">
        <f>IF(Stammblatt!$L$4=1,AH24,AI24)</f>
        <v>Wertschöpfungsbonus **)</v>
      </c>
      <c r="C24" s="283"/>
      <c r="D24" s="283"/>
      <c r="E24" s="283"/>
      <c r="F24" s="283"/>
      <c r="G24" s="283"/>
      <c r="H24" s="283">
        <f ca="1">IF(Finanzierungsplan!V21=TRUE,Zusammenfassung!H23/0.4*0.6,Zusammenfassung!H23/0.45*0.55)</f>
        <v>0</v>
      </c>
      <c r="I24" s="283"/>
      <c r="J24" s="283"/>
      <c r="K24" s="283"/>
      <c r="L24" s="978"/>
      <c r="M24" s="283"/>
      <c r="N24" s="283"/>
      <c r="O24" s="283"/>
      <c r="P24" s="283"/>
      <c r="Q24" s="1048">
        <f>IF(Finanzierungsplan!V21=TRUE,Zusammenfassung!Q23/0.4*0.6,Zusammenfassung!Q23/0.45*0.55)</f>
        <v>0</v>
      </c>
      <c r="R24" s="283"/>
      <c r="S24" s="979"/>
      <c r="T24" s="283"/>
      <c r="U24" s="283"/>
      <c r="V24" s="283"/>
      <c r="W24" s="283"/>
      <c r="X24" s="283"/>
      <c r="Y24" s="283"/>
      <c r="Z24" s="283"/>
      <c r="AA24" s="283"/>
      <c r="AB24" s="283"/>
      <c r="AC24" s="283"/>
      <c r="AD24" s="283"/>
      <c r="AE24" s="283"/>
      <c r="AF24" s="283"/>
      <c r="AG24" s="283"/>
      <c r="AH24" s="283" t="s">
        <v>1130</v>
      </c>
      <c r="AI24" s="283" t="s">
        <v>1132</v>
      </c>
      <c r="AJ24" s="283"/>
      <c r="AK24" s="283"/>
      <c r="AL24" s="283"/>
      <c r="AM24" s="294"/>
      <c r="AN24" s="294"/>
      <c r="AO24" s="294"/>
      <c r="AP24" s="294"/>
      <c r="AQ24" s="294"/>
      <c r="AR24" s="294"/>
      <c r="AS24" s="294"/>
      <c r="AT24" s="218"/>
      <c r="AU24" s="218"/>
      <c r="AV24" s="218"/>
      <c r="AW24" s="218"/>
      <c r="AX24" s="218"/>
      <c r="AY24" s="294"/>
      <c r="AZ24" s="294"/>
      <c r="BA24" s="294"/>
      <c r="BB24" s="294"/>
      <c r="BC24" s="294"/>
      <c r="BD24" s="294"/>
      <c r="BE24" s="294"/>
      <c r="BF24" s="294"/>
      <c r="BG24" s="294"/>
      <c r="BH24" s="294"/>
      <c r="BI24" s="294"/>
      <c r="BJ24" s="294"/>
      <c r="BK24" s="294"/>
    </row>
    <row r="25" spans="1:63" s="9" customFormat="1" ht="20.25" customHeight="1" outlineLevel="1" thickBot="1" x14ac:dyDescent="0.25">
      <c r="A25" s="1037" t="s">
        <v>1107</v>
      </c>
      <c r="B25" s="1037" t="str">
        <f>IF(Stammblatt!$L$4=1,AH25,AI25)</f>
        <v>Bemessungsgrundlage ÖFI+ (ex. Wertschöpfung) **)</v>
      </c>
      <c r="C25" s="1036"/>
      <c r="D25" s="1036"/>
      <c r="E25" s="1036"/>
      <c r="F25" s="1036"/>
      <c r="G25" s="1036"/>
      <c r="H25" s="1036">
        <f ca="1">IF(H22-SUM(H23:H24)&lt;0,0,H22-SUM(H23:H24))</f>
        <v>0</v>
      </c>
      <c r="I25" s="283"/>
      <c r="J25" s="283"/>
      <c r="K25" s="283"/>
      <c r="L25" s="978"/>
      <c r="M25" s="283"/>
      <c r="N25" s="283"/>
      <c r="O25" s="283"/>
      <c r="P25" s="283"/>
      <c r="Q25" s="1099">
        <f>IF(Q22-SUM(Q23:Q24)&lt;0,0,Q22-SUM(Q23:Q24))</f>
        <v>0</v>
      </c>
      <c r="R25" s="283"/>
      <c r="S25" s="979"/>
      <c r="T25" s="283"/>
      <c r="U25" s="283"/>
      <c r="V25" s="283"/>
      <c r="W25" s="283"/>
      <c r="X25" s="283"/>
      <c r="Y25" s="283"/>
      <c r="Z25" s="283"/>
      <c r="AA25" s="283"/>
      <c r="AB25" s="283"/>
      <c r="AC25" s="283"/>
      <c r="AD25" s="283"/>
      <c r="AE25" s="283"/>
      <c r="AF25" s="283"/>
      <c r="AG25" s="283"/>
      <c r="AH25" s="283" t="s">
        <v>1131</v>
      </c>
      <c r="AI25" s="283" t="s">
        <v>1133</v>
      </c>
      <c r="AJ25" s="283"/>
      <c r="AK25" s="283"/>
      <c r="AL25" s="283"/>
      <c r="AM25" s="294"/>
      <c r="AN25" s="294"/>
      <c r="AO25" s="294"/>
      <c r="AP25" s="294"/>
      <c r="AQ25" s="294"/>
      <c r="AR25" s="294"/>
      <c r="AS25" s="294"/>
      <c r="AT25" s="218"/>
      <c r="AU25" s="218"/>
      <c r="AV25" s="218"/>
      <c r="AW25" s="218"/>
      <c r="AX25" s="218"/>
      <c r="AY25" s="294"/>
      <c r="AZ25" s="294"/>
      <c r="BA25" s="294"/>
      <c r="BB25" s="294"/>
      <c r="BC25" s="294"/>
      <c r="BD25" s="294"/>
      <c r="BE25" s="294"/>
      <c r="BF25" s="294"/>
      <c r="BG25" s="294"/>
      <c r="BH25" s="294"/>
      <c r="BI25" s="294"/>
      <c r="BJ25" s="294"/>
      <c r="BK25" s="294"/>
    </row>
    <row r="26" spans="1:63" s="9" customFormat="1" ht="21" customHeight="1" outlineLevel="1" thickBot="1" x14ac:dyDescent="0.25">
      <c r="A26" s="20" t="s">
        <v>1108</v>
      </c>
      <c r="B26" s="1041" t="str">
        <f>IF(Stammblatt!$L$4=1,AH26,AI26)</f>
        <v>Finanzierungssummen</v>
      </c>
      <c r="C26" s="22"/>
      <c r="D26" s="146">
        <f ca="1">GHSTK-D23</f>
        <v>0</v>
      </c>
      <c r="E26" s="146"/>
      <c r="F26" s="146"/>
      <c r="G26" s="146"/>
      <c r="H26" s="146"/>
      <c r="I26" s="146"/>
      <c r="J26" s="146"/>
      <c r="K26" s="146"/>
      <c r="L26" s="146"/>
      <c r="M26" s="146"/>
      <c r="N26" s="146">
        <f>N22-N23</f>
        <v>0</v>
      </c>
      <c r="O26" s="146"/>
      <c r="P26" s="146"/>
      <c r="Q26" s="146"/>
      <c r="R26" s="146"/>
      <c r="S26" s="146"/>
      <c r="T26" s="283"/>
      <c r="U26" s="283"/>
      <c r="V26" s="146">
        <f>GHSTK_A-V23</f>
        <v>0</v>
      </c>
      <c r="W26" s="146">
        <f>W22-W23</f>
        <v>0</v>
      </c>
      <c r="X26" s="146">
        <f>GHSTK_B-X23</f>
        <v>0</v>
      </c>
      <c r="Y26" s="146">
        <f>Y22-Y23</f>
        <v>0</v>
      </c>
      <c r="Z26" s="146">
        <f>GHSTK_C-Z23</f>
        <v>0</v>
      </c>
      <c r="AA26" s="146">
        <f>AA22-AA23</f>
        <v>0</v>
      </c>
      <c r="AB26" s="146"/>
      <c r="AC26" s="146">
        <f ca="1">AC22-AC23</f>
        <v>0</v>
      </c>
      <c r="AD26" s="146">
        <f>SUM(N26,W26,Y26,AA26)</f>
        <v>0</v>
      </c>
      <c r="AE26" s="283"/>
      <c r="AF26" s="283"/>
      <c r="AG26" s="283"/>
      <c r="AH26" s="283" t="s">
        <v>1109</v>
      </c>
      <c r="AI26" s="283" t="s">
        <v>1110</v>
      </c>
      <c r="AJ26" s="283"/>
      <c r="AK26" s="283"/>
      <c r="AL26" s="283"/>
      <c r="AM26" s="294"/>
      <c r="AN26" s="294"/>
      <c r="AO26" s="294"/>
      <c r="AP26" s="294"/>
      <c r="AQ26" s="294"/>
      <c r="AR26" s="294"/>
      <c r="AS26" s="294"/>
      <c r="AT26" s="218"/>
      <c r="AU26" s="218"/>
      <c r="AV26" s="218"/>
      <c r="AW26" s="218"/>
      <c r="AX26" s="218"/>
      <c r="AY26" s="294"/>
      <c r="AZ26" s="294"/>
      <c r="BA26" s="294"/>
      <c r="BB26" s="294"/>
      <c r="BC26" s="294"/>
      <c r="BD26" s="294"/>
      <c r="BE26" s="294"/>
      <c r="BF26" s="294"/>
      <c r="BG26" s="294"/>
      <c r="BH26" s="294"/>
      <c r="BI26" s="294"/>
      <c r="BJ26" s="294"/>
      <c r="BK26" s="294"/>
    </row>
    <row r="27" spans="1:63" ht="21" customHeight="1" thickBot="1" x14ac:dyDescent="0.25">
      <c r="A27" s="218"/>
      <c r="B27" s="283" t="str">
        <f>IF(Stammblatt!$L$4=1,AH27,AI27)</f>
        <v>*)   Lt. Anlage</v>
      </c>
      <c r="C27" s="283"/>
      <c r="D27" s="1046">
        <f ca="1">IF(FIN_ges=0,0,FIN/FIN_ges)</f>
        <v>0</v>
      </c>
      <c r="E27" s="1001"/>
      <c r="F27" s="1001"/>
      <c r="G27" s="1055"/>
      <c r="H27" s="1001"/>
      <c r="I27" s="1001"/>
      <c r="J27" s="1001"/>
      <c r="K27" s="1001"/>
      <c r="L27" s="283"/>
      <c r="M27" s="283"/>
      <c r="N27" s="283"/>
      <c r="O27" s="283"/>
      <c r="P27" s="283"/>
      <c r="Q27" s="1001"/>
      <c r="R27" s="1001"/>
      <c r="S27" s="1001"/>
      <c r="T27" s="1001"/>
      <c r="U27" s="1001"/>
      <c r="V27" s="1046">
        <f ca="1">IF(FIN_ges=0,0,FIN_A/FIN_ges)</f>
        <v>0</v>
      </c>
      <c r="W27" s="1046"/>
      <c r="X27" s="1046">
        <f ca="1">IF(FIN_ges=0,0,FIN_B/FIN_ges)</f>
        <v>0</v>
      </c>
      <c r="Y27" s="1046"/>
      <c r="Z27" s="1046">
        <f ca="1">IF(FIN_ges=0,0,FIN_C/FIN_ges)</f>
        <v>0</v>
      </c>
      <c r="AA27" s="1046"/>
      <c r="AB27" s="1001"/>
      <c r="AC27" s="1046">
        <f ca="1">SUM(V27:AB27,D27)</f>
        <v>0</v>
      </c>
      <c r="AD27" s="1046"/>
      <c r="AE27" s="283"/>
      <c r="AF27" s="283"/>
      <c r="AG27" s="283"/>
      <c r="AH27" s="1028" t="s">
        <v>943</v>
      </c>
      <c r="AI27" s="1028" t="s">
        <v>945</v>
      </c>
      <c r="AJ27" s="283"/>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row>
    <row r="28" spans="1:63" ht="21" customHeight="1" thickBot="1" x14ac:dyDescent="0.25">
      <c r="A28" s="218"/>
      <c r="B28" s="283" t="str">
        <f>IF(Stammblatt!$L$4=1,AH28,AI28)</f>
        <v>**) nur bei Koproduktionen</v>
      </c>
      <c r="C28" s="283"/>
      <c r="D28" s="1037" t="str">
        <f>IF(Stammblatt!$L$4=1,AH29,AI29)</f>
        <v>Zusätzlicher Wertschöpfungseffekt</v>
      </c>
      <c r="E28" s="1036"/>
      <c r="F28" s="1036"/>
      <c r="G28" s="1036"/>
      <c r="H28" s="1037">
        <f ca="1">SUM(H23:H24)</f>
        <v>0</v>
      </c>
      <c r="I28" s="283"/>
      <c r="J28" s="283"/>
      <c r="K28" s="283"/>
      <c r="L28" s="1051" t="s">
        <v>1118</v>
      </c>
      <c r="M28" s="1052"/>
      <c r="N28" s="1053" t="s">
        <v>253</v>
      </c>
      <c r="O28" s="1053" t="s">
        <v>1120</v>
      </c>
      <c r="P28" s="1053" t="s">
        <v>1121</v>
      </c>
      <c r="Q28" s="1054" t="s">
        <v>202</v>
      </c>
      <c r="R28" s="283"/>
      <c r="S28" s="283"/>
      <c r="T28" s="283"/>
      <c r="U28" s="283"/>
      <c r="V28" s="1042"/>
      <c r="W28" s="1042"/>
      <c r="X28" s="283"/>
      <c r="Y28" s="283"/>
      <c r="Z28" s="283"/>
      <c r="AA28" s="283"/>
      <c r="AB28" s="283"/>
      <c r="AC28" s="283"/>
      <c r="AD28" s="283"/>
      <c r="AE28" s="283"/>
      <c r="AF28" s="283"/>
      <c r="AG28" s="283"/>
      <c r="AH28" s="1028" t="s">
        <v>942</v>
      </c>
      <c r="AI28" s="1028" t="s">
        <v>944</v>
      </c>
      <c r="AJ28" s="283"/>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row>
    <row r="29" spans="1:63" ht="15" customHeight="1" x14ac:dyDescent="0.2">
      <c r="A29" s="218"/>
      <c r="B29" s="283"/>
      <c r="C29" s="283"/>
      <c r="D29" s="283"/>
      <c r="E29" s="283"/>
      <c r="F29" s="283"/>
      <c r="G29" s="283"/>
      <c r="H29" s="283"/>
      <c r="I29" s="283"/>
      <c r="J29" s="283"/>
      <c r="K29" s="283"/>
      <c r="L29" s="975" t="s">
        <v>217</v>
      </c>
      <c r="M29" s="283"/>
      <c r="N29" s="283">
        <f ca="1">Finanzierungsplan!D5</f>
        <v>0</v>
      </c>
      <c r="O29" s="190"/>
      <c r="P29" s="283">
        <f ca="1">N29-O29</f>
        <v>0</v>
      </c>
      <c r="Q29" s="1048">
        <f ca="1">SUM(O29:P29)</f>
        <v>0</v>
      </c>
      <c r="R29" s="283"/>
      <c r="S29" s="283"/>
      <c r="T29" s="283"/>
      <c r="U29" s="283"/>
      <c r="V29" s="514"/>
      <c r="W29" s="514"/>
      <c r="X29" s="283"/>
      <c r="Y29" s="283"/>
      <c r="Z29" s="283"/>
      <c r="AA29" s="283"/>
      <c r="AB29" s="283"/>
      <c r="AC29" s="283"/>
      <c r="AD29" s="283"/>
      <c r="AE29" s="283"/>
      <c r="AF29" s="283"/>
      <c r="AG29" s="283"/>
      <c r="AH29" s="283" t="s">
        <v>1122</v>
      </c>
      <c r="AI29" s="283" t="s">
        <v>1123</v>
      </c>
      <c r="AJ29" s="283"/>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row>
    <row r="30" spans="1:63" ht="15" customHeight="1" x14ac:dyDescent="0.2">
      <c r="A30" s="218"/>
      <c r="B30" s="283"/>
      <c r="C30" s="283"/>
      <c r="D30" s="283"/>
      <c r="E30" s="283"/>
      <c r="F30" s="283"/>
      <c r="G30" s="283"/>
      <c r="H30" s="283"/>
      <c r="I30" s="283"/>
      <c r="J30" s="283"/>
      <c r="K30" s="283"/>
      <c r="L30" s="975" t="s">
        <v>1119</v>
      </c>
      <c r="M30" s="283"/>
      <c r="N30" s="283">
        <f>Finanzierungsplan!D12</f>
        <v>0</v>
      </c>
      <c r="O30" s="190"/>
      <c r="P30" s="283">
        <f t="shared" ref="P30:P36" si="11">N30-O30</f>
        <v>0</v>
      </c>
      <c r="Q30" s="1048">
        <f t="shared" ref="Q30:Q36" si="12">SUM(O30:P30)</f>
        <v>0</v>
      </c>
      <c r="R30" s="283"/>
      <c r="S30" s="283"/>
      <c r="T30" s="283"/>
      <c r="U30" s="283"/>
      <c r="V30" s="283"/>
      <c r="W30" s="283"/>
      <c r="X30" s="283"/>
      <c r="Y30" s="283"/>
      <c r="Z30" s="283"/>
      <c r="AA30" s="283"/>
      <c r="AB30" s="283"/>
      <c r="AC30" s="283"/>
      <c r="AD30" s="283"/>
      <c r="AE30" s="283"/>
      <c r="AF30" s="283"/>
      <c r="AG30" s="283"/>
      <c r="AH30" s="283"/>
      <c r="AI30" s="283"/>
      <c r="AJ30" s="283"/>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row>
    <row r="31" spans="1:63" ht="15" customHeight="1" x14ac:dyDescent="0.2">
      <c r="A31" s="218"/>
      <c r="B31" s="283"/>
      <c r="C31" s="283"/>
      <c r="D31" s="283"/>
      <c r="E31" s="283"/>
      <c r="F31" s="283"/>
      <c r="G31" s="283"/>
      <c r="H31" s="283"/>
      <c r="I31" s="283"/>
      <c r="J31" s="283"/>
      <c r="K31" s="283"/>
      <c r="L31" s="975" t="s">
        <v>954</v>
      </c>
      <c r="M31" s="283"/>
      <c r="N31" s="283">
        <f ca="1">Finanzierungsplan!D17</f>
        <v>0</v>
      </c>
      <c r="O31" s="190"/>
      <c r="P31" s="283">
        <f t="shared" ca="1" si="11"/>
        <v>0</v>
      </c>
      <c r="Q31" s="1048">
        <f t="shared" ca="1" si="12"/>
        <v>0</v>
      </c>
      <c r="R31" s="283"/>
      <c r="S31" s="283"/>
      <c r="T31" s="283"/>
      <c r="U31" s="283"/>
      <c r="V31" s="283"/>
      <c r="W31" s="283"/>
      <c r="X31" s="283"/>
      <c r="Y31" s="283"/>
      <c r="Z31" s="283"/>
      <c r="AA31" s="283"/>
      <c r="AB31" s="283"/>
      <c r="AC31" s="283"/>
      <c r="AD31" s="283"/>
      <c r="AE31" s="283"/>
      <c r="AF31" s="283"/>
      <c r="AG31" s="283"/>
      <c r="AH31" s="283"/>
      <c r="AI31" s="283"/>
      <c r="AJ31" s="283"/>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row>
    <row r="32" spans="1:63" ht="15" customHeight="1" x14ac:dyDescent="0.2">
      <c r="A32" s="218"/>
      <c r="B32" s="283"/>
      <c r="C32" s="283"/>
      <c r="D32" s="283"/>
      <c r="E32" s="283"/>
      <c r="F32" s="283"/>
      <c r="G32" s="283"/>
      <c r="H32" s="283"/>
      <c r="I32" s="283"/>
      <c r="J32" s="283"/>
      <c r="K32" s="283"/>
      <c r="L32" s="975" t="s">
        <v>1112</v>
      </c>
      <c r="M32" s="283"/>
      <c r="N32" s="283">
        <f>Finanzierungsplan!D22</f>
        <v>0</v>
      </c>
      <c r="O32" s="190"/>
      <c r="P32" s="283">
        <f t="shared" si="11"/>
        <v>0</v>
      </c>
      <c r="Q32" s="1048">
        <f t="shared" si="12"/>
        <v>0</v>
      </c>
      <c r="R32" s="283"/>
      <c r="S32" s="283"/>
      <c r="T32" s="283"/>
      <c r="U32" s="283"/>
      <c r="V32" s="283"/>
      <c r="W32" s="283"/>
      <c r="X32" s="283"/>
      <c r="Y32" s="283"/>
      <c r="Z32" s="283"/>
      <c r="AA32" s="283"/>
      <c r="AB32" s="283"/>
      <c r="AC32" s="283"/>
      <c r="AD32" s="283"/>
      <c r="AE32" s="283"/>
      <c r="AF32" s="283"/>
      <c r="AG32" s="283"/>
      <c r="AH32" s="283"/>
      <c r="AI32" s="283"/>
      <c r="AJ32" s="283"/>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row>
    <row r="33" spans="1:63" ht="15" customHeight="1" x14ac:dyDescent="0.2">
      <c r="A33" s="218"/>
      <c r="B33" s="283"/>
      <c r="C33" s="283"/>
      <c r="D33" s="283"/>
      <c r="E33" s="283"/>
      <c r="F33" s="283"/>
      <c r="G33" s="283"/>
      <c r="H33" s="283"/>
      <c r="I33" s="283"/>
      <c r="J33" s="283"/>
      <c r="K33" s="283"/>
      <c r="L33" s="975" t="s">
        <v>1073</v>
      </c>
      <c r="M33" s="283"/>
      <c r="N33" s="283">
        <f>Finanzierungsplan!D25</f>
        <v>0</v>
      </c>
      <c r="O33" s="190"/>
      <c r="P33" s="283">
        <f t="shared" si="11"/>
        <v>0</v>
      </c>
      <c r="Q33" s="1048">
        <f t="shared" si="12"/>
        <v>0</v>
      </c>
      <c r="R33" s="283"/>
      <c r="S33" s="283"/>
      <c r="T33" s="283"/>
      <c r="U33" s="283"/>
      <c r="V33" s="283"/>
      <c r="W33" s="283"/>
      <c r="X33" s="283"/>
      <c r="Y33" s="283"/>
      <c r="Z33" s="283"/>
      <c r="AA33" s="283"/>
      <c r="AB33" s="283"/>
      <c r="AC33" s="283"/>
      <c r="AD33" s="283"/>
      <c r="AE33" s="283"/>
      <c r="AF33" s="283"/>
      <c r="AG33" s="283"/>
      <c r="AH33" s="283"/>
      <c r="AI33" s="283"/>
      <c r="AJ33" s="283"/>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row>
    <row r="34" spans="1:63" ht="15" customHeight="1" x14ac:dyDescent="0.2">
      <c r="A34" s="218"/>
      <c r="B34" s="218"/>
      <c r="C34" s="218"/>
      <c r="D34" s="218"/>
      <c r="E34" s="283"/>
      <c r="F34" s="283"/>
      <c r="G34" s="283"/>
      <c r="H34" s="283"/>
      <c r="I34" s="283"/>
      <c r="J34" s="283"/>
      <c r="K34" s="283"/>
      <c r="L34" s="975" t="s">
        <v>200</v>
      </c>
      <c r="M34" s="283"/>
      <c r="N34" s="283">
        <f>Finanzierungsplan!D29</f>
        <v>0</v>
      </c>
      <c r="O34" s="190"/>
      <c r="P34" s="283">
        <f t="shared" si="11"/>
        <v>0</v>
      </c>
      <c r="Q34" s="1048">
        <f t="shared" si="12"/>
        <v>0</v>
      </c>
      <c r="R34" s="283"/>
      <c r="S34" s="283"/>
      <c r="T34" s="283"/>
      <c r="U34" s="283"/>
      <c r="V34" s="283"/>
      <c r="W34" s="283"/>
      <c r="X34" s="283"/>
      <c r="Y34" s="283"/>
      <c r="Z34" s="283"/>
      <c r="AA34" s="283"/>
      <c r="AB34" s="283"/>
      <c r="AC34" s="283"/>
      <c r="AD34" s="283"/>
      <c r="AE34" s="283"/>
      <c r="AF34" s="283"/>
      <c r="AG34" s="283"/>
      <c r="AH34" s="283"/>
      <c r="AI34" s="283"/>
      <c r="AJ34" s="283"/>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row>
    <row r="35" spans="1:63" ht="15" customHeight="1" x14ac:dyDescent="0.2">
      <c r="A35" s="218"/>
      <c r="B35" s="218"/>
      <c r="C35" s="218"/>
      <c r="D35" s="218"/>
      <c r="E35" s="283"/>
      <c r="F35" s="283"/>
      <c r="G35" s="283"/>
      <c r="H35" s="283"/>
      <c r="I35" s="283"/>
      <c r="J35" s="283"/>
      <c r="K35" s="283"/>
      <c r="L35" s="975" t="s">
        <v>215</v>
      </c>
      <c r="M35" s="283"/>
      <c r="N35" s="283">
        <f>Finanzierungsplan!D30</f>
        <v>0</v>
      </c>
      <c r="O35" s="190"/>
      <c r="P35" s="283">
        <f t="shared" si="11"/>
        <v>0</v>
      </c>
      <c r="Q35" s="1048">
        <f t="shared" si="12"/>
        <v>0</v>
      </c>
      <c r="R35" s="283"/>
      <c r="S35" s="283"/>
      <c r="T35" s="283"/>
      <c r="U35" s="283"/>
      <c r="V35" s="283"/>
      <c r="W35" s="283"/>
      <c r="X35" s="283"/>
      <c r="Y35" s="283"/>
      <c r="Z35" s="283"/>
      <c r="AA35" s="283"/>
      <c r="AB35" s="283"/>
      <c r="AC35" s="283"/>
      <c r="AD35" s="283"/>
      <c r="AE35" s="283"/>
      <c r="AF35" s="283"/>
      <c r="AG35" s="283"/>
      <c r="AH35" s="283"/>
      <c r="AI35" s="283"/>
      <c r="AJ35" s="283"/>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row>
    <row r="36" spans="1:63" ht="15" customHeight="1" thickBot="1" x14ac:dyDescent="0.25">
      <c r="A36" s="218"/>
      <c r="B36" s="218"/>
      <c r="C36" s="218"/>
      <c r="D36" s="218"/>
      <c r="E36" s="283"/>
      <c r="F36" s="283"/>
      <c r="G36" s="283"/>
      <c r="H36" s="283"/>
      <c r="I36" s="283"/>
      <c r="J36" s="283"/>
      <c r="K36" s="283"/>
      <c r="L36" s="975" t="s">
        <v>216</v>
      </c>
      <c r="M36" s="283"/>
      <c r="N36" s="283">
        <f>Finanzierungsplan!D31</f>
        <v>0</v>
      </c>
      <c r="O36" s="190"/>
      <c r="P36" s="283">
        <f t="shared" si="11"/>
        <v>0</v>
      </c>
      <c r="Q36" s="1048">
        <f t="shared" si="12"/>
        <v>0</v>
      </c>
      <c r="R36" s="283"/>
      <c r="S36" s="283"/>
      <c r="T36" s="283"/>
      <c r="U36" s="283"/>
      <c r="V36" s="283"/>
      <c r="W36" s="283"/>
      <c r="X36" s="283"/>
      <c r="Y36" s="283"/>
      <c r="Z36" s="283"/>
      <c r="AA36" s="283"/>
      <c r="AB36" s="283"/>
      <c r="AC36" s="283"/>
      <c r="AD36" s="283"/>
      <c r="AE36" s="283"/>
      <c r="AF36" s="283"/>
      <c r="AG36" s="283"/>
      <c r="AH36" s="283"/>
      <c r="AI36" s="283"/>
      <c r="AJ36" s="283"/>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row>
    <row r="37" spans="1:63" ht="21" customHeight="1" thickBot="1" x14ac:dyDescent="0.25">
      <c r="A37" s="218"/>
      <c r="B37" s="218"/>
      <c r="C37" s="218"/>
      <c r="D37" s="218"/>
      <c r="E37" s="283"/>
      <c r="F37" s="283"/>
      <c r="G37" s="283"/>
      <c r="H37" s="283"/>
      <c r="I37" s="283"/>
      <c r="J37" s="283"/>
      <c r="K37" s="283"/>
      <c r="L37" s="1049" t="s">
        <v>153</v>
      </c>
      <c r="M37" s="146"/>
      <c r="N37" s="146">
        <f ca="1">SUM(N29:N36)</f>
        <v>0</v>
      </c>
      <c r="O37" s="146">
        <f>SUM(O29:O36)</f>
        <v>0</v>
      </c>
      <c r="P37" s="146">
        <f ca="1">SUM(P29:P36)</f>
        <v>0</v>
      </c>
      <c r="Q37" s="1050">
        <f ca="1">SUM(Q29:Q36)</f>
        <v>0</v>
      </c>
      <c r="R37" s="283"/>
      <c r="S37" s="283"/>
      <c r="T37" s="283"/>
      <c r="U37" s="283"/>
      <c r="V37" s="283"/>
      <c r="W37" s="283"/>
      <c r="X37" s="283"/>
      <c r="Y37" s="283"/>
      <c r="Z37" s="283"/>
      <c r="AA37" s="283"/>
      <c r="AB37" s="283"/>
      <c r="AC37" s="283"/>
      <c r="AD37" s="283"/>
      <c r="AE37" s="283"/>
      <c r="AF37" s="283"/>
      <c r="AG37" s="283"/>
      <c r="AH37" s="283"/>
      <c r="AI37" s="283"/>
      <c r="AJ37" s="283"/>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row>
    <row r="38" spans="1:63" x14ac:dyDescent="0.2">
      <c r="A38" s="218"/>
      <c r="B38" s="218"/>
      <c r="C38" s="218"/>
      <c r="D38" s="218"/>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row>
    <row r="39" spans="1:63" x14ac:dyDescent="0.2">
      <c r="A39" s="218"/>
      <c r="B39" s="218"/>
      <c r="C39" s="300">
        <f>IF(AC19&gt;0,0.1,0.08)</f>
        <v>0.08</v>
      </c>
      <c r="D39" s="218"/>
      <c r="E39" s="283"/>
      <c r="F39" s="283"/>
      <c r="G39" s="283"/>
      <c r="H39" s="218"/>
      <c r="I39" s="218"/>
      <c r="J39" s="218"/>
      <c r="K39" s="218"/>
      <c r="L39" s="283"/>
      <c r="M39" s="283"/>
      <c r="N39" s="283"/>
      <c r="O39" s="283"/>
      <c r="P39" s="283"/>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row>
    <row r="40" spans="1:63" x14ac:dyDescent="0.2">
      <c r="A40" s="218"/>
      <c r="B40" s="218"/>
      <c r="C40" s="218"/>
      <c r="D40" s="218"/>
      <c r="E40" s="283"/>
      <c r="F40" s="283"/>
      <c r="G40" s="283"/>
      <c r="H40" s="218"/>
      <c r="I40" s="218"/>
      <c r="J40" s="218"/>
      <c r="K40" s="218"/>
      <c r="L40" s="283"/>
      <c r="M40" s="283"/>
      <c r="N40" s="283"/>
      <c r="O40" s="283"/>
      <c r="P40" s="283"/>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row>
    <row r="41" spans="1:63" x14ac:dyDescent="0.2">
      <c r="A41" s="218"/>
      <c r="B41" s="218"/>
      <c r="C41" s="218"/>
      <c r="D41" s="218"/>
      <c r="E41" s="283"/>
      <c r="F41" s="283"/>
      <c r="G41" s="283"/>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row>
    <row r="42" spans="1:63" x14ac:dyDescent="0.2">
      <c r="A42" s="218"/>
      <c r="B42" s="218"/>
      <c r="C42" s="218"/>
      <c r="D42" s="218"/>
      <c r="E42" s="283"/>
      <c r="F42" s="283"/>
      <c r="G42" s="283"/>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row>
    <row r="43" spans="1:63" x14ac:dyDescent="0.2">
      <c r="A43" s="218"/>
      <c r="B43" s="218"/>
      <c r="C43" s="218"/>
      <c r="D43" s="218"/>
      <c r="E43" s="283"/>
      <c r="F43" s="283"/>
      <c r="G43" s="283"/>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row>
    <row r="44" spans="1:63" x14ac:dyDescent="0.2">
      <c r="A44" s="218"/>
      <c r="B44" s="218"/>
      <c r="C44" s="218"/>
      <c r="D44" s="218"/>
      <c r="E44" s="283"/>
      <c r="F44" s="283"/>
      <c r="G44" s="283"/>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row>
    <row r="45" spans="1:63" x14ac:dyDescent="0.2">
      <c r="A45" s="218"/>
      <c r="B45" s="218"/>
      <c r="C45" s="218"/>
      <c r="D45" s="218"/>
      <c r="E45" s="283"/>
      <c r="F45" s="283"/>
      <c r="G45" s="283"/>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row>
    <row r="46" spans="1:63" x14ac:dyDescent="0.2">
      <c r="A46" s="218"/>
      <c r="B46" s="218"/>
      <c r="C46" s="218"/>
      <c r="D46" s="218"/>
      <c r="E46" s="218"/>
      <c r="F46" s="218"/>
      <c r="G46" s="283"/>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row>
    <row r="47" spans="1:63" x14ac:dyDescent="0.2">
      <c r="A47" s="218"/>
      <c r="B47" s="218"/>
      <c r="C47" s="218"/>
      <c r="D47" s="218"/>
      <c r="E47" s="218"/>
      <c r="F47" s="218"/>
      <c r="G47" s="283"/>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row>
    <row r="48" spans="1:63" x14ac:dyDescent="0.2">
      <c r="A48" s="218"/>
      <c r="B48" s="218"/>
      <c r="C48" s="218"/>
      <c r="D48" s="218"/>
      <c r="E48" s="218"/>
      <c r="F48" s="218"/>
      <c r="G48" s="283"/>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row>
    <row r="49" spans="1:63" x14ac:dyDescent="0.2">
      <c r="A49" s="218"/>
      <c r="B49" s="218"/>
      <c r="C49" s="218"/>
      <c r="D49" s="218"/>
      <c r="E49" s="218"/>
      <c r="F49" s="218"/>
      <c r="G49" s="283"/>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row>
    <row r="50" spans="1:63" x14ac:dyDescent="0.2">
      <c r="A50" s="218"/>
      <c r="B50" s="218"/>
      <c r="C50" s="218"/>
      <c r="D50" s="218"/>
      <c r="E50" s="218"/>
      <c r="F50" s="218"/>
      <c r="G50" s="283"/>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row>
    <row r="51" spans="1:63" x14ac:dyDescent="0.2">
      <c r="A51" s="218"/>
      <c r="B51" s="218"/>
      <c r="C51" s="218"/>
      <c r="D51" s="218"/>
      <c r="E51" s="218"/>
      <c r="F51" s="218"/>
      <c r="G51" s="283"/>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row>
    <row r="52" spans="1:63" x14ac:dyDescent="0.2">
      <c r="A52" s="218"/>
      <c r="B52" s="218"/>
      <c r="C52" s="218"/>
      <c r="D52" s="218"/>
      <c r="E52" s="218"/>
      <c r="F52" s="218"/>
      <c r="G52" s="283"/>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row>
    <row r="53" spans="1:63" x14ac:dyDescent="0.2">
      <c r="A53" s="218"/>
      <c r="B53" s="218"/>
      <c r="C53" s="218"/>
      <c r="D53" s="218"/>
      <c r="E53" s="218"/>
      <c r="F53" s="218"/>
      <c r="G53" s="283"/>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row>
    <row r="54" spans="1:63" x14ac:dyDescent="0.2">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row>
    <row r="55" spans="1:63" x14ac:dyDescent="0.2">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row>
    <row r="56" spans="1:63" x14ac:dyDescent="0.2">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row>
    <row r="57" spans="1:63" x14ac:dyDescent="0.2">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row>
    <row r="58" spans="1:63" x14ac:dyDescent="0.2">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row>
    <row r="59" spans="1:63" x14ac:dyDescent="0.2">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row>
    <row r="60" spans="1:63" x14ac:dyDescent="0.2">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row>
    <row r="61" spans="1:63" x14ac:dyDescent="0.2">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row>
    <row r="62" spans="1:63" x14ac:dyDescent="0.2">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row>
    <row r="63" spans="1:63" x14ac:dyDescent="0.2">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row>
    <row r="64" spans="1:63" x14ac:dyDescent="0.2">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row>
    <row r="65" spans="1:63" x14ac:dyDescent="0.2">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row>
    <row r="66" spans="1:63" x14ac:dyDescent="0.2">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row>
    <row r="67" spans="1:63" x14ac:dyDescent="0.2">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row>
    <row r="68" spans="1:63" x14ac:dyDescent="0.2">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row>
    <row r="69" spans="1:63" x14ac:dyDescent="0.2">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row>
    <row r="70" spans="1:63" x14ac:dyDescent="0.2">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row>
    <row r="71" spans="1:63" x14ac:dyDescent="0.2">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row>
    <row r="72" spans="1:63" x14ac:dyDescent="0.2">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row>
    <row r="73" spans="1:63" x14ac:dyDescent="0.2">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row>
    <row r="74" spans="1:63" x14ac:dyDescent="0.2">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row>
    <row r="75" spans="1:63" x14ac:dyDescent="0.2">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row>
    <row r="76" spans="1:63" x14ac:dyDescent="0.2">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row>
    <row r="77" spans="1:63" x14ac:dyDescent="0.2">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row>
    <row r="78" spans="1:63" x14ac:dyDescent="0.2">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row>
    <row r="79" spans="1:63" x14ac:dyDescent="0.2">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row>
    <row r="80" spans="1:63" x14ac:dyDescent="0.2">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row>
    <row r="81" spans="1:63" x14ac:dyDescent="0.2">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row>
    <row r="82" spans="1:63" x14ac:dyDescent="0.2">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row>
    <row r="83" spans="1:63" x14ac:dyDescent="0.2">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row>
    <row r="84" spans="1:63" x14ac:dyDescent="0.2">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row>
    <row r="85" spans="1:63" x14ac:dyDescent="0.2">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row>
    <row r="86" spans="1:63" x14ac:dyDescent="0.2">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row>
    <row r="87" spans="1:63" x14ac:dyDescent="0.2">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row>
    <row r="88" spans="1:63" x14ac:dyDescent="0.2">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row>
    <row r="89" spans="1:63" x14ac:dyDescent="0.2">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row>
    <row r="90" spans="1:63" x14ac:dyDescent="0.2">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row>
    <row r="91" spans="1:63" x14ac:dyDescent="0.2">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row>
    <row r="92" spans="1:63" x14ac:dyDescent="0.2">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row>
    <row r="93" spans="1:63" x14ac:dyDescent="0.2">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row>
    <row r="94" spans="1:63" x14ac:dyDescent="0.2">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row>
    <row r="95" spans="1:63" x14ac:dyDescent="0.2">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row>
    <row r="96" spans="1:63" x14ac:dyDescent="0.2">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row>
    <row r="97" spans="1:63" x14ac:dyDescent="0.2">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row>
    <row r="98" spans="1:63" x14ac:dyDescent="0.2">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row>
    <row r="99" spans="1:63" x14ac:dyDescent="0.2">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row>
    <row r="100" spans="1:63" x14ac:dyDescent="0.2">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row>
    <row r="101" spans="1:63" x14ac:dyDescent="0.2">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row>
    <row r="102" spans="1:63" x14ac:dyDescent="0.2">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row>
    <row r="103" spans="1:63" x14ac:dyDescent="0.2">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row>
    <row r="104" spans="1:63" x14ac:dyDescent="0.2">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row>
    <row r="105" spans="1:63" x14ac:dyDescent="0.2">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row>
    <row r="106" spans="1:63" x14ac:dyDescent="0.2">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row>
    <row r="107" spans="1:63" x14ac:dyDescent="0.2">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row>
    <row r="108" spans="1:63" x14ac:dyDescent="0.2">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row>
    <row r="109" spans="1:63" x14ac:dyDescent="0.2">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row>
    <row r="110" spans="1:63" x14ac:dyDescent="0.2">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c r="BJ110" s="218"/>
      <c r="BK110" s="218"/>
    </row>
    <row r="111" spans="1:63" x14ac:dyDescent="0.2">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row>
    <row r="112" spans="1:63" x14ac:dyDescent="0.2">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row>
    <row r="113" spans="1:63" x14ac:dyDescent="0.2">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row>
    <row r="114" spans="1:63" x14ac:dyDescent="0.2">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row>
    <row r="115" spans="1:63" x14ac:dyDescent="0.2">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218"/>
      <c r="BK115" s="218"/>
    </row>
    <row r="116" spans="1:63" x14ac:dyDescent="0.2">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c r="BJ116" s="218"/>
      <c r="BK116" s="218"/>
    </row>
    <row r="117" spans="1:63" x14ac:dyDescent="0.2">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c r="BJ117" s="218"/>
      <c r="BK117" s="218"/>
    </row>
    <row r="118" spans="1:63" x14ac:dyDescent="0.2">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8"/>
      <c r="BK118" s="218"/>
    </row>
    <row r="119" spans="1:63" x14ac:dyDescent="0.2">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row>
    <row r="120" spans="1:63" x14ac:dyDescent="0.2">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row>
    <row r="121" spans="1:63" x14ac:dyDescent="0.2">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row>
    <row r="122" spans="1:63" x14ac:dyDescent="0.2">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c r="BJ122" s="218"/>
      <c r="BK122" s="218"/>
    </row>
    <row r="123" spans="1:63" x14ac:dyDescent="0.2">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8"/>
      <c r="BK123" s="218"/>
    </row>
    <row r="124" spans="1:63" x14ac:dyDescent="0.2">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row>
    <row r="125" spans="1:63" x14ac:dyDescent="0.2">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c r="BJ125" s="218"/>
      <c r="BK125" s="218"/>
    </row>
    <row r="126" spans="1:63" x14ac:dyDescent="0.2">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row>
    <row r="127" spans="1:63" x14ac:dyDescent="0.2">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c r="BJ127" s="218"/>
      <c r="BK127" s="218"/>
    </row>
    <row r="128" spans="1:63" x14ac:dyDescent="0.2">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row>
    <row r="129" spans="1:63" x14ac:dyDescent="0.2">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c r="BJ129" s="218"/>
      <c r="BK129" s="218"/>
    </row>
    <row r="130" spans="1:63" x14ac:dyDescent="0.2">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row>
    <row r="131" spans="1:63" x14ac:dyDescent="0.2">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c r="BJ131" s="218"/>
      <c r="BK131" s="218"/>
    </row>
    <row r="132" spans="1:63" x14ac:dyDescent="0.2">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row>
    <row r="133" spans="1:63" x14ac:dyDescent="0.2">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c r="BJ133" s="218"/>
      <c r="BK133" s="218"/>
    </row>
    <row r="134" spans="1:63" x14ac:dyDescent="0.2">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c r="BJ134" s="218"/>
      <c r="BK134" s="218"/>
    </row>
    <row r="135" spans="1:63" x14ac:dyDescent="0.2">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row>
    <row r="136" spans="1:63" x14ac:dyDescent="0.2">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row>
    <row r="137" spans="1:63" x14ac:dyDescent="0.2">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row>
    <row r="138" spans="1:63" x14ac:dyDescent="0.2">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row>
    <row r="139" spans="1:63" x14ac:dyDescent="0.2">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row>
    <row r="140" spans="1:63" x14ac:dyDescent="0.2">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row>
    <row r="141" spans="1:63" x14ac:dyDescent="0.2">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c r="BJ141" s="218"/>
      <c r="BK141" s="218"/>
    </row>
    <row r="142" spans="1:63" x14ac:dyDescent="0.2">
      <c r="A142" s="218"/>
      <c r="B142" s="218"/>
      <c r="C142" s="218"/>
      <c r="D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row>
    <row r="143" spans="1:63" x14ac:dyDescent="0.2">
      <c r="A143" s="218"/>
      <c r="B143" s="218"/>
      <c r="C143" s="218"/>
      <c r="D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218"/>
      <c r="BK143" s="218"/>
    </row>
    <row r="144" spans="1:63" x14ac:dyDescent="0.2">
      <c r="A144" s="218"/>
      <c r="B144" s="218"/>
      <c r="C144" s="218"/>
      <c r="D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218"/>
      <c r="BK144" s="218"/>
    </row>
    <row r="145" spans="1:63" x14ac:dyDescent="0.2">
      <c r="A145" s="218"/>
      <c r="B145" s="218"/>
      <c r="C145" s="218"/>
      <c r="D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218"/>
      <c r="BK145" s="218"/>
    </row>
    <row r="146" spans="1:63" x14ac:dyDescent="0.2">
      <c r="A146" s="218"/>
      <c r="B146" s="218"/>
      <c r="C146" s="218"/>
      <c r="D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218"/>
      <c r="BK146" s="218"/>
    </row>
    <row r="147" spans="1:63" x14ac:dyDescent="0.2">
      <c r="A147" s="218"/>
      <c r="B147" s="218"/>
      <c r="C147" s="218"/>
      <c r="D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218"/>
      <c r="BK147" s="218"/>
    </row>
    <row r="148" spans="1:63" x14ac:dyDescent="0.2">
      <c r="A148" s="218"/>
      <c r="B148" s="218"/>
      <c r="C148" s="218"/>
      <c r="D148" s="218"/>
      <c r="G148" s="218"/>
      <c r="H148" s="218"/>
      <c r="I148" s="218"/>
      <c r="J148" s="218"/>
      <c r="K148" s="218"/>
      <c r="L148" s="218"/>
      <c r="M148" s="218"/>
      <c r="N148" s="218"/>
      <c r="O148" s="218"/>
      <c r="P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row>
    <row r="149" spans="1:63" x14ac:dyDescent="0.2">
      <c r="A149" s="218"/>
      <c r="B149" s="218"/>
      <c r="C149" s="218"/>
      <c r="D149" s="218"/>
      <c r="G149" s="218"/>
      <c r="H149" s="218"/>
      <c r="I149" s="218"/>
      <c r="J149" s="218"/>
      <c r="K149" s="218"/>
      <c r="L149" s="218"/>
      <c r="M149" s="218"/>
      <c r="N149" s="218"/>
      <c r="O149" s="218"/>
      <c r="P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row>
  </sheetData>
  <sheetProtection formatColumns="0" formatRows="0" insertColumns="0" insertRows="0"/>
  <dataConsolidate/>
  <mergeCells count="8">
    <mergeCell ref="E19:F19"/>
    <mergeCell ref="G2:J2"/>
    <mergeCell ref="V3:W3"/>
    <mergeCell ref="X3:Y3"/>
    <mergeCell ref="Z3:AA3"/>
    <mergeCell ref="V2:AB2"/>
    <mergeCell ref="L2:P2"/>
    <mergeCell ref="E3:F3"/>
  </mergeCells>
  <phoneticPr fontId="0" type="noConversion"/>
  <dataValidations xWindow="580" yWindow="549" count="8">
    <dataValidation allowBlank="1" showInputMessage="1" showErrorMessage="1" promptTitle="HINWEIS" prompt="Der Abschluss einer Fertigstellungsversicherung für internationale Koproduktionen kann bei Fertigungskosten über drei Millionen Euro verpflichtend vorgeschrieben werden." sqref="D19" xr:uid="{00000000-0002-0000-0200-000000000000}"/>
    <dataValidation type="decim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 sqref="C21" xr:uid="{00000000-0002-0000-0200-000001000000}">
      <formula1>0.05</formula1>
      <formula2>C39</formula2>
    </dataValidation>
    <dataValidation type="whole" operator="lessThan" allowBlank="1" showInputMessage="1" showErrorMessage="1" sqref="C39" xr:uid="{00000000-0002-0000-0200-000002000000}">
      <formula1>-99999</formula1>
    </dataValidation>
    <dataValidation type="whole" operator="lessThan" allowBlank="1" showInputMessage="1" showErrorMessage="1" sqref="D5:D15" xr:uid="{00000000-0002-0000-0200-000003000000}">
      <formula1>-999</formula1>
    </dataValidation>
    <dataValidation operator="lessThan" allowBlank="1" showInputMessage="1" showErrorMessage="1" sqref="E5:F16 R5:S16 H17 L22:S22" xr:uid="{00000000-0002-0000-0200-000004000000}"/>
    <dataValidation type="whole" operator="lessThan" allowBlank="1" showInputMessage="1" showErrorMessage="1" sqref="V22:AD22 AH3:AI29 T22:U22 G22:K22 E18:F18 D22 G5:G17 I5:Q17 H5:H16 V17:AD17 V26:AD26 AC18:AD21 AC23:AD23 V5:V15 X5:X15 Z5:Z15 AC5:AC15 AD5:AD15 V16 X16 Z16 AC16" xr:uid="{377C9266-7610-40B2-8FCC-27118389A1BA}">
      <formula1>-9999</formula1>
    </dataValidation>
    <dataValidation type="whole" allowBlank="1" showInputMessage="1" showErrorMessage="1" sqref="H21" xr:uid="{FF8B7F1F-FD43-49BB-9DB1-8AC2761A030F}">
      <formula1>0</formula1>
      <formula2>H17*C21</formula2>
    </dataValidation>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B646C972-8C44-452D-84AA-9219CC8DD646}"/>
  </dataValidations>
  <printOptions horizontalCentered="1"/>
  <pageMargins left="0.39370078740157483" right="0.19685039370078741" top="1.1811023622047245" bottom="0.98425196850393704" header="0.51181102362204722" footer="0.51181102362204722"/>
  <pageSetup paperSize="9" scale="65" orientation="landscape" blackAndWhite="1" horizontalDpi="4294967292" r:id="rId1"/>
  <headerFooter alignWithMargins="0">
    <oddHeader>&amp;R&amp;"Verdana,Standard"&amp;10Kalkulationshilfe  2023
&amp;8Version 23.1</oddHeader>
    <oddFooter>&amp;L&amp;"Verdana,Standard"&amp;10Ausdruck vom &amp;D&amp;R&amp;"Verdana,Standard"&amp;10Seite &amp;P von &amp;N</oddFooter>
  </headerFooter>
  <ignoredErrors>
    <ignoredError sqref="A1 Z3 B5:B22 G18 V3 X3" unlockedFormula="1"/>
    <ignoredError sqref="O17 X26 Z2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D150"/>
  <sheetViews>
    <sheetView showZeros="0" zoomScaleNormal="100" workbookViewId="0">
      <pane ySplit="2" topLeftCell="A3" activePane="bottomLeft" state="frozen"/>
      <selection pane="bottomLeft" activeCell="AC42" sqref="AC42"/>
    </sheetView>
  </sheetViews>
  <sheetFormatPr baseColWidth="10" defaultColWidth="9.625" defaultRowHeight="12.75" outlineLevelRow="1" outlineLevelCol="1" x14ac:dyDescent="0.2"/>
  <cols>
    <col min="1" max="1" width="27" style="73" customWidth="1"/>
    <col min="2" max="2" width="10.125" style="73" customWidth="1"/>
    <col min="3" max="3" width="11.375" style="73" customWidth="1"/>
    <col min="4" max="4" width="11.625" style="73" customWidth="1"/>
    <col min="5" max="5" width="8.75" style="73" bestFit="1" customWidth="1"/>
    <col min="6" max="7" width="7.125" style="73" hidden="1" customWidth="1" outlineLevel="1"/>
    <col min="8" max="8" width="2.625" style="73" customWidth="1" collapsed="1"/>
    <col min="9" max="9" width="14.375" style="95" hidden="1" customWidth="1" outlineLevel="1"/>
    <col min="10" max="10" width="5" style="95" hidden="1" customWidth="1" outlineLevel="1"/>
    <col min="11" max="11" width="14.375" style="95" hidden="1" customWidth="1" outlineLevel="1"/>
    <col min="12" max="12" width="5.625" style="95" hidden="1" customWidth="1" outlineLevel="1"/>
    <col min="13" max="13" width="3.125" style="73" customWidth="1" collapsed="1"/>
    <col min="14" max="14" width="9.625" style="73" customWidth="1"/>
    <col min="15" max="15" width="13.125" style="73" hidden="1" customWidth="1" outlineLevel="1"/>
    <col min="16" max="16" width="10.75" style="73" hidden="1" customWidth="1" outlineLevel="1"/>
    <col min="17" max="17" width="8.125" style="73" hidden="1" customWidth="1" outlineLevel="1"/>
    <col min="18" max="18" width="13.125" style="73" customWidth="1" collapsed="1"/>
    <col min="19" max="19" width="9.625" style="110" hidden="1" customWidth="1"/>
    <col min="20" max="21" width="9.625" style="73" hidden="1" customWidth="1"/>
    <col min="22" max="22" width="9.625" style="110" hidden="1" customWidth="1"/>
    <col min="23" max="25" width="9.625" style="73" hidden="1" customWidth="1"/>
    <col min="26" max="26" width="9.625" style="73" customWidth="1"/>
    <col min="27" max="27" width="10.75" style="73" bestFit="1" customWidth="1"/>
    <col min="28" max="28" width="9.625" style="73"/>
    <col min="29" max="29" width="10.75" style="73" bestFit="1" customWidth="1"/>
    <col min="30" max="30" width="9.625" style="73"/>
    <col min="31" max="31" width="10.75" style="73" bestFit="1" customWidth="1"/>
    <col min="32" max="32" width="9.625" style="73"/>
    <col min="33" max="33" width="10.75" style="73" bestFit="1" customWidth="1"/>
    <col min="34" max="34" width="12.375" style="73" bestFit="1" customWidth="1"/>
    <col min="35" max="16384" width="9.625" style="73"/>
  </cols>
  <sheetData>
    <row r="1" spans="1:56" s="72" customFormat="1" ht="21" customHeight="1" x14ac:dyDescent="0.2">
      <c r="A1" s="301" t="str">
        <f>Stammblatt!A1</f>
        <v>Projekttitel</v>
      </c>
      <c r="B1" s="302"/>
      <c r="C1" s="303"/>
      <c r="D1" s="303"/>
      <c r="E1" s="304"/>
      <c r="F1" s="1148" t="str">
        <f>IF(Stammblatt!$L$4=1,X5,Y5)</f>
        <v>Datum</v>
      </c>
      <c r="G1" s="1149"/>
      <c r="H1" s="304"/>
      <c r="I1" s="309" t="s">
        <v>256</v>
      </c>
      <c r="J1" s="305"/>
      <c r="K1" s="309" t="s">
        <v>271</v>
      </c>
      <c r="L1" s="305"/>
      <c r="M1" s="1007"/>
      <c r="N1" s="1007"/>
      <c r="O1" s="1150" t="s">
        <v>1173</v>
      </c>
      <c r="P1" s="1150"/>
      <c r="Q1" s="1094"/>
      <c r="R1" s="1087"/>
      <c r="S1" s="1007"/>
      <c r="T1" s="1007"/>
      <c r="U1" s="1007"/>
      <c r="V1" s="1007"/>
      <c r="W1" s="1007"/>
      <c r="X1" s="1007"/>
      <c r="Y1" s="1007"/>
      <c r="Z1" s="1007"/>
      <c r="AA1" s="1007"/>
      <c r="AB1" s="1007"/>
      <c r="AC1" s="1007"/>
      <c r="AD1" s="1007"/>
      <c r="AE1" s="1007"/>
      <c r="AF1" s="1007"/>
      <c r="AG1" s="1007"/>
      <c r="AH1" s="1007"/>
      <c r="AI1" s="1007"/>
      <c r="AJ1" s="1007"/>
      <c r="AK1" s="1007"/>
      <c r="AL1" s="1007"/>
      <c r="AM1" s="1007"/>
      <c r="AN1" s="1007"/>
      <c r="AO1" s="1007"/>
      <c r="AP1" s="1007"/>
      <c r="AQ1" s="1007"/>
      <c r="AR1" s="1007"/>
      <c r="AS1" s="1007"/>
      <c r="AT1" s="1007"/>
      <c r="AU1" s="1007"/>
      <c r="AV1" s="1007"/>
      <c r="AW1" s="1007"/>
      <c r="AX1" s="1007"/>
      <c r="AY1" s="1007"/>
      <c r="AZ1" s="1007"/>
      <c r="BA1" s="1007"/>
      <c r="BB1" s="1007"/>
      <c r="BC1" s="1007"/>
      <c r="BD1" s="1007"/>
    </row>
    <row r="2" spans="1:56" s="72" customFormat="1" ht="18" x14ac:dyDescent="0.25">
      <c r="A2" s="1025" t="str">
        <f>IF(Stammblatt!$L$4=1,S2,V2)</f>
        <v>FINANZIERUNGSPLAN</v>
      </c>
      <c r="B2" s="307"/>
      <c r="C2" s="271"/>
      <c r="D2" s="308"/>
      <c r="E2" s="271"/>
      <c r="F2" s="1026" t="str">
        <f>IF(Stammblatt!$L$4=1,S5,V5)</f>
        <v>Zusage</v>
      </c>
      <c r="G2" s="1026" t="str">
        <f>IF(Stammblatt!$L$4=1,S6,V6)</f>
        <v>Antrag</v>
      </c>
      <c r="H2" s="304"/>
      <c r="I2" s="312" t="s">
        <v>257</v>
      </c>
      <c r="J2" s="311" t="s">
        <v>258</v>
      </c>
      <c r="K2" s="312" t="s">
        <v>272</v>
      </c>
      <c r="L2" s="311" t="s">
        <v>258</v>
      </c>
      <c r="M2" s="1007"/>
      <c r="N2" s="1007"/>
      <c r="O2" s="1087" t="s">
        <v>1171</v>
      </c>
      <c r="P2" s="1087" t="s">
        <v>1172</v>
      </c>
      <c r="Q2" s="1087"/>
      <c r="R2" s="1087"/>
      <c r="S2" s="1007" t="s">
        <v>122</v>
      </c>
      <c r="T2" s="1007"/>
      <c r="U2" s="1007"/>
      <c r="V2" s="1007" t="s">
        <v>532</v>
      </c>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row>
    <row r="3" spans="1:56" s="72" customFormat="1" ht="21" customHeight="1" x14ac:dyDescent="0.2">
      <c r="A3" s="310"/>
      <c r="B3" s="310"/>
      <c r="C3" s="310"/>
      <c r="D3" s="310"/>
      <c r="E3" s="310"/>
      <c r="F3" s="1026"/>
      <c r="G3" s="1026"/>
      <c r="H3" s="304"/>
      <c r="I3" s="312"/>
      <c r="J3" s="311"/>
      <c r="K3" s="312"/>
      <c r="L3" s="1006"/>
      <c r="M3" s="1007"/>
      <c r="N3" s="1007"/>
      <c r="O3" s="1007"/>
      <c r="P3" s="1007"/>
      <c r="Q3" s="1007"/>
      <c r="R3" s="1087"/>
      <c r="S3" s="1007"/>
      <c r="T3" s="1007"/>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c r="AT3" s="1007"/>
      <c r="AU3" s="1007"/>
      <c r="AV3" s="1007"/>
      <c r="AW3" s="1007"/>
      <c r="AX3" s="1007"/>
      <c r="AY3" s="1007"/>
      <c r="AZ3" s="1007"/>
      <c r="BA3" s="1007"/>
      <c r="BB3" s="1007"/>
      <c r="BC3" s="1007"/>
      <c r="BD3" s="1007"/>
    </row>
    <row r="4" spans="1:56" ht="21" customHeight="1" x14ac:dyDescent="0.2">
      <c r="A4" s="153" t="str">
        <f>IF(Stammblatt!L4=1,Finanzierungsplan!S4 &amp; Stammblatt!B11,Finanzierungsplan!V4 &amp; Stammblatt!B11)</f>
        <v xml:space="preserve">Finanzierung </v>
      </c>
      <c r="B4" s="84"/>
      <c r="C4" s="74"/>
      <c r="D4" s="154">
        <f ca="1">FIN</f>
        <v>0</v>
      </c>
      <c r="E4" s="155">
        <f ca="1">IF(D4=0,0,D4/D67)</f>
        <v>0</v>
      </c>
      <c r="F4" s="313"/>
      <c r="G4" s="314"/>
      <c r="H4" s="315"/>
      <c r="I4" s="1017">
        <f ca="1">SUM(I5:I31)</f>
        <v>0</v>
      </c>
      <c r="J4" s="316">
        <f ca="1">IF($I$67&lt;1,0,I4/$I$67)</f>
        <v>0</v>
      </c>
      <c r="K4" s="1017">
        <f>SUM(K5:K31)</f>
        <v>0</v>
      </c>
      <c r="L4" s="1021">
        <f>IF($K$67=0,,K4/$K$67)</f>
        <v>0</v>
      </c>
      <c r="M4" s="1007"/>
      <c r="N4" s="1007"/>
      <c r="O4" s="154">
        <f>SUM(O5:O31)</f>
        <v>0</v>
      </c>
      <c r="P4" s="154">
        <f ca="1">SUM(P5:P31)</f>
        <v>0</v>
      </c>
      <c r="Q4" s="155">
        <f>IF(O4=0,0,O4/$O$67)</f>
        <v>0</v>
      </c>
      <c r="R4" s="1087"/>
      <c r="S4" s="1007" t="s">
        <v>1116</v>
      </c>
      <c r="T4" s="1007"/>
      <c r="U4" s="1007"/>
      <c r="V4" s="1007" t="s">
        <v>1117</v>
      </c>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c r="AT4" s="1007"/>
      <c r="AU4" s="1007"/>
      <c r="AV4" s="1007"/>
      <c r="AW4" s="1007"/>
      <c r="AX4" s="1007"/>
      <c r="AY4" s="1007"/>
      <c r="AZ4" s="1007"/>
      <c r="BA4" s="1007"/>
      <c r="BB4" s="1007"/>
      <c r="BC4" s="1007"/>
      <c r="BD4" s="1007"/>
    </row>
    <row r="5" spans="1:56" ht="21" customHeight="1" x14ac:dyDescent="0.2">
      <c r="A5" s="1043" t="str">
        <f>IF(Stammblatt!$L$4=1,S7,V7)</f>
        <v>Eigenanteil</v>
      </c>
      <c r="B5" s="367"/>
      <c r="C5" s="369"/>
      <c r="D5" s="1045">
        <f ca="1">SUM(C6:C11)</f>
        <v>0</v>
      </c>
      <c r="E5" s="1027">
        <f ca="1">IF($D$4&lt;1,0,D5/$D$4)</f>
        <v>0</v>
      </c>
      <c r="F5" s="317"/>
      <c r="G5" s="318"/>
      <c r="H5" s="315"/>
      <c r="I5" s="1018"/>
      <c r="J5" s="320"/>
      <c r="K5" s="319"/>
      <c r="L5" s="320"/>
      <c r="M5" s="1007"/>
      <c r="N5" s="1007"/>
      <c r="O5" s="1092">
        <f>SUM(N6:N8)</f>
        <v>0</v>
      </c>
      <c r="P5" s="1095">
        <f ca="1">O5-D5</f>
        <v>0</v>
      </c>
      <c r="Q5" s="1093"/>
      <c r="R5" s="1087"/>
      <c r="S5" s="1007" t="s">
        <v>251</v>
      </c>
      <c r="T5" s="1007"/>
      <c r="U5" s="1007"/>
      <c r="V5" s="1007" t="s">
        <v>547</v>
      </c>
      <c r="W5" s="1007"/>
      <c r="X5" s="1007" t="s">
        <v>545</v>
      </c>
      <c r="Y5" s="1007" t="s">
        <v>546</v>
      </c>
      <c r="Z5" s="1007"/>
      <c r="AA5" s="1007"/>
      <c r="AB5" s="1007"/>
      <c r="AC5" s="1007"/>
      <c r="AD5" s="1007"/>
      <c r="AE5" s="1007"/>
      <c r="AF5" s="1007"/>
      <c r="AG5" s="1007"/>
      <c r="AH5" s="1007"/>
      <c r="AI5" s="1007"/>
      <c r="AJ5" s="1007"/>
      <c r="AK5" s="1007"/>
      <c r="AL5" s="1007"/>
      <c r="AM5" s="1007"/>
      <c r="AN5" s="1007"/>
      <c r="AO5" s="1007"/>
      <c r="AP5" s="1007"/>
      <c r="AQ5" s="1007"/>
      <c r="AR5" s="1007"/>
      <c r="AS5" s="1007"/>
      <c r="AT5" s="1007"/>
      <c r="AU5" s="1007"/>
      <c r="AV5" s="1007"/>
      <c r="AW5" s="1007"/>
      <c r="AX5" s="1007"/>
      <c r="AY5" s="1007"/>
      <c r="AZ5" s="1007"/>
      <c r="BA5" s="1007"/>
      <c r="BB5" s="1007"/>
      <c r="BC5" s="1007"/>
      <c r="BD5" s="1007"/>
    </row>
    <row r="6" spans="1:56" ht="12.75" customHeight="1" x14ac:dyDescent="0.2">
      <c r="A6" s="357" t="str">
        <f>IF(Stammblatt!$L$4=1,S8,V8)</f>
        <v>Barmittel (min. 2,5% v. HSTK)</v>
      </c>
      <c r="B6" s="368"/>
      <c r="C6" s="995">
        <f ca="1">ROUNDUP(D4*2.5%,-2)</f>
        <v>0</v>
      </c>
      <c r="D6" s="371"/>
      <c r="E6" s="372"/>
      <c r="F6" s="321"/>
      <c r="G6" s="322"/>
      <c r="H6" s="315"/>
      <c r="I6" s="1018">
        <f ca="1">C6</f>
        <v>0</v>
      </c>
      <c r="J6" s="320"/>
      <c r="K6" s="319"/>
      <c r="L6" s="320"/>
      <c r="M6" s="1007"/>
      <c r="N6" s="179"/>
      <c r="O6" s="371"/>
      <c r="P6" s="371"/>
      <c r="Q6" s="320"/>
      <c r="R6" s="1087"/>
      <c r="S6" s="1007" t="s">
        <v>252</v>
      </c>
      <c r="T6" s="1007"/>
      <c r="U6" s="1007"/>
      <c r="V6" s="1007" t="s">
        <v>548</v>
      </c>
      <c r="W6" s="1007"/>
      <c r="X6" s="1007"/>
      <c r="Y6" s="1007"/>
      <c r="Z6" s="1007"/>
      <c r="AA6" s="1007"/>
      <c r="AB6" s="1007"/>
      <c r="AC6" s="1007"/>
      <c r="AD6" s="1007"/>
      <c r="AE6" s="1007"/>
      <c r="AF6" s="1007"/>
      <c r="AG6" s="1007"/>
      <c r="AH6" s="1007"/>
      <c r="AI6" s="1007"/>
      <c r="AJ6" s="1007"/>
      <c r="AK6" s="1007"/>
      <c r="AL6" s="1007"/>
      <c r="AM6" s="1007"/>
      <c r="AN6" s="1007"/>
      <c r="AO6" s="1007"/>
      <c r="AP6" s="1007"/>
      <c r="AQ6" s="1007"/>
      <c r="AR6" s="1007"/>
      <c r="AS6" s="1007"/>
      <c r="AT6" s="1007"/>
      <c r="AU6" s="1007"/>
      <c r="AV6" s="1007"/>
      <c r="AW6" s="1007"/>
      <c r="AX6" s="1007"/>
      <c r="AY6" s="1007"/>
      <c r="AZ6" s="1007"/>
      <c r="BA6" s="1007"/>
      <c r="BB6" s="1007"/>
      <c r="BC6" s="1007"/>
      <c r="BD6" s="1007"/>
    </row>
    <row r="7" spans="1:56" ht="12.75" customHeight="1" x14ac:dyDescent="0.2">
      <c r="A7" s="357" t="str">
        <f>IF(Stammblatt!$L$4=1,S9,V9)</f>
        <v>bewertete Eigenleistungen</v>
      </c>
      <c r="B7" s="358"/>
      <c r="C7" s="179"/>
      <c r="D7" s="371"/>
      <c r="E7" s="372"/>
      <c r="F7" s="321"/>
      <c r="G7" s="322"/>
      <c r="H7" s="315"/>
      <c r="I7" s="1018">
        <f>C7</f>
        <v>0</v>
      </c>
      <c r="J7" s="320"/>
      <c r="K7" s="319"/>
      <c r="L7" s="320"/>
      <c r="M7" s="1007"/>
      <c r="N7" s="179"/>
      <c r="O7" s="371"/>
      <c r="P7" s="371"/>
      <c r="Q7" s="320"/>
      <c r="R7" s="1087"/>
      <c r="S7" s="1007" t="s">
        <v>217</v>
      </c>
      <c r="T7" s="1007"/>
      <c r="U7" s="1007"/>
      <c r="V7" s="1007" t="s">
        <v>533</v>
      </c>
      <c r="W7" s="1007"/>
      <c r="X7" s="1007"/>
      <c r="Y7" s="1007"/>
      <c r="Z7" s="1007"/>
      <c r="AA7" s="1007"/>
      <c r="AB7" s="1007"/>
      <c r="AC7" s="1007"/>
      <c r="AD7" s="1007"/>
      <c r="AE7" s="1007"/>
      <c r="AF7" s="1007"/>
      <c r="AG7" s="1007"/>
      <c r="AH7" s="1007"/>
      <c r="AI7" s="1007"/>
      <c r="AJ7" s="1007"/>
      <c r="AK7" s="1007"/>
      <c r="AL7" s="1007"/>
      <c r="AM7" s="1007"/>
      <c r="AN7" s="1007"/>
      <c r="AO7" s="1007"/>
      <c r="AP7" s="1007"/>
      <c r="AQ7" s="1007"/>
      <c r="AR7" s="1007"/>
      <c r="AS7" s="1007"/>
      <c r="AT7" s="1007"/>
      <c r="AU7" s="1007"/>
      <c r="AV7" s="1007"/>
      <c r="AW7" s="1007"/>
      <c r="AX7" s="1007"/>
      <c r="AY7" s="1007"/>
      <c r="AZ7" s="1007"/>
      <c r="BA7" s="1007"/>
      <c r="BB7" s="1007"/>
      <c r="BC7" s="1007"/>
      <c r="BD7" s="1007"/>
    </row>
    <row r="8" spans="1:56" ht="12.75" customHeight="1" x14ac:dyDescent="0.2">
      <c r="A8" s="357" t="str">
        <f>IF(Stammblatt!$L$4=1,S10,V10)</f>
        <v>Lizenzen, Garantien etc.</v>
      </c>
      <c r="B8" s="358"/>
      <c r="C8" s="370">
        <f>SUM(B9:B11)</f>
        <v>0</v>
      </c>
      <c r="D8" s="371"/>
      <c r="E8" s="1089"/>
      <c r="F8" s="1088"/>
      <c r="G8" s="322"/>
      <c r="H8" s="315"/>
      <c r="I8" s="1018"/>
      <c r="J8" s="320"/>
      <c r="K8" s="1018">
        <f>C8</f>
        <v>0</v>
      </c>
      <c r="L8" s="320"/>
      <c r="M8" s="1007"/>
      <c r="N8" s="179"/>
      <c r="O8" s="371"/>
      <c r="P8" s="371"/>
      <c r="Q8" s="320"/>
      <c r="R8" s="1087"/>
      <c r="S8" s="1007" t="s">
        <v>797</v>
      </c>
      <c r="T8" s="1007"/>
      <c r="U8" s="1007"/>
      <c r="V8" s="1007" t="s">
        <v>798</v>
      </c>
      <c r="W8" s="1007"/>
      <c r="X8" s="1007"/>
      <c r="Y8" s="1007"/>
      <c r="Z8" s="1007"/>
      <c r="AA8" s="1007"/>
      <c r="AB8" s="1007"/>
      <c r="AC8" s="1007"/>
      <c r="AD8" s="1007"/>
      <c r="AE8" s="1007"/>
      <c r="AF8" s="1007"/>
      <c r="AG8" s="1007"/>
      <c r="AH8" s="1007"/>
      <c r="AI8" s="1007"/>
      <c r="AJ8" s="1007"/>
      <c r="AK8" s="1007"/>
      <c r="AL8" s="1007"/>
      <c r="AM8" s="1007"/>
      <c r="AN8" s="1007"/>
      <c r="AO8" s="1007"/>
      <c r="AP8" s="1007"/>
      <c r="AQ8" s="1007"/>
      <c r="AR8" s="1007"/>
      <c r="AS8" s="1007"/>
      <c r="AT8" s="1007"/>
      <c r="AU8" s="1007"/>
      <c r="AV8" s="1007"/>
      <c r="AW8" s="1007"/>
      <c r="AX8" s="1007"/>
      <c r="AY8" s="1007"/>
      <c r="AZ8" s="1007"/>
      <c r="BA8" s="1007"/>
      <c r="BB8" s="1007"/>
      <c r="BC8" s="1007"/>
      <c r="BD8" s="1007"/>
    </row>
    <row r="9" spans="1:56" ht="12.75" customHeight="1" x14ac:dyDescent="0.2">
      <c r="A9" s="365" t="str">
        <f>IF(Stammblatt!$L$4=1,S11,V11)</f>
        <v>ORF (Lizenzanteil)</v>
      </c>
      <c r="B9" s="180"/>
      <c r="C9" s="373"/>
      <c r="D9" s="374"/>
      <c r="E9" s="1090"/>
      <c r="F9" s="1088"/>
      <c r="G9" s="322"/>
      <c r="H9" s="315"/>
      <c r="I9" s="1018"/>
      <c r="J9" s="320"/>
      <c r="K9" s="319"/>
      <c r="L9" s="320"/>
      <c r="M9" s="1007"/>
      <c r="N9" s="1007"/>
      <c r="O9" s="374"/>
      <c r="P9" s="374"/>
      <c r="Q9" s="320"/>
      <c r="R9" s="1087"/>
      <c r="S9" s="1007" t="s">
        <v>136</v>
      </c>
      <c r="T9" s="1007"/>
      <c r="U9" s="1007"/>
      <c r="V9" s="1007" t="s">
        <v>534</v>
      </c>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row>
    <row r="10" spans="1:56" ht="12.75" customHeight="1" x14ac:dyDescent="0.2">
      <c r="A10" s="365" t="str">
        <f>IF(Stammblatt!$L$4=1,S12,V12)</f>
        <v>Verleihgarantie</v>
      </c>
      <c r="B10" s="181"/>
      <c r="C10" s="375"/>
      <c r="D10" s="376"/>
      <c r="E10" s="1090"/>
      <c r="F10" s="1088"/>
      <c r="G10" s="322"/>
      <c r="H10" s="315"/>
      <c r="I10" s="1018"/>
      <c r="J10" s="320"/>
      <c r="K10" s="319"/>
      <c r="L10" s="320"/>
      <c r="M10" s="1007"/>
      <c r="N10" s="1007"/>
      <c r="O10" s="376"/>
      <c r="P10" s="376"/>
      <c r="Q10" s="320"/>
      <c r="R10" s="1087"/>
      <c r="S10" s="1007" t="s">
        <v>273</v>
      </c>
      <c r="T10" s="1007"/>
      <c r="U10" s="1007"/>
      <c r="V10" s="1007" t="s">
        <v>535</v>
      </c>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row>
    <row r="11" spans="1:56" ht="12.75" customHeight="1" x14ac:dyDescent="0.2">
      <c r="A11" s="366" t="str">
        <f>IF(Stammblatt!$L$4=1,S13,V13)</f>
        <v>MG (Weltvertrieb)</v>
      </c>
      <c r="B11" s="181"/>
      <c r="C11" s="346"/>
      <c r="D11" s="377"/>
      <c r="E11" s="1091"/>
      <c r="F11" s="1088"/>
      <c r="G11" s="322"/>
      <c r="H11" s="315"/>
      <c r="I11" s="1018"/>
      <c r="J11" s="320"/>
      <c r="K11" s="319"/>
      <c r="L11" s="320"/>
      <c r="M11" s="1007"/>
      <c r="N11" s="1007"/>
      <c r="O11" s="377"/>
      <c r="P11" s="377"/>
      <c r="Q11" s="320"/>
      <c r="R11" s="1087"/>
      <c r="S11" s="1007" t="s">
        <v>721</v>
      </c>
      <c r="T11" s="1007"/>
      <c r="U11" s="1007"/>
      <c r="V11" s="1007" t="s">
        <v>722</v>
      </c>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row>
    <row r="12" spans="1:56" ht="21" customHeight="1" x14ac:dyDescent="0.2">
      <c r="A12" s="355" t="str">
        <f>IF(Stammblatt!$L$4=1,S14,V14)</f>
        <v>Österreichisches Filminstitut</v>
      </c>
      <c r="B12" s="356"/>
      <c r="C12" s="378"/>
      <c r="D12" s="182"/>
      <c r="E12" s="379">
        <f ca="1">IF($D$4=0,0,D12/$D$4)</f>
        <v>0</v>
      </c>
      <c r="F12" s="321"/>
      <c r="G12" s="323"/>
      <c r="H12" s="315"/>
      <c r="I12" s="1018">
        <f>D12</f>
        <v>0</v>
      </c>
      <c r="J12" s="320"/>
      <c r="K12" s="319"/>
      <c r="L12" s="320"/>
      <c r="M12" s="1007"/>
      <c r="N12" s="1007"/>
      <c r="O12" s="1092">
        <f>SUM(N13:N16)</f>
        <v>0</v>
      </c>
      <c r="P12" s="1095">
        <f>O12-D12</f>
        <v>0</v>
      </c>
      <c r="Q12" s="1093"/>
      <c r="R12" s="1087"/>
      <c r="S12" s="1007" t="s">
        <v>723</v>
      </c>
      <c r="T12" s="1007"/>
      <c r="U12" s="1007"/>
      <c r="V12" s="1007" t="s">
        <v>726</v>
      </c>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row>
    <row r="13" spans="1:56" ht="12.75" customHeight="1" x14ac:dyDescent="0.15">
      <c r="A13" s="357" t="str">
        <f>IF(Stammblatt!$L$4=1,S15,V15)</f>
        <v>Buch-/Projektentwicklung (selektiv)</v>
      </c>
      <c r="B13" s="358"/>
      <c r="C13" s="179"/>
      <c r="D13" s="371"/>
      <c r="E13" s="380"/>
      <c r="F13" s="324"/>
      <c r="G13" s="323"/>
      <c r="H13" s="315"/>
      <c r="I13" s="1019"/>
      <c r="J13" s="320"/>
      <c r="K13" s="325"/>
      <c r="L13" s="320"/>
      <c r="M13" s="1007"/>
      <c r="N13" s="179"/>
      <c r="O13" s="371"/>
      <c r="P13" s="371"/>
      <c r="Q13" s="320"/>
      <c r="R13" s="1087"/>
      <c r="S13" s="1007" t="s">
        <v>724</v>
      </c>
      <c r="T13" s="1007"/>
      <c r="U13" s="1007"/>
      <c r="V13" s="1007" t="s">
        <v>725</v>
      </c>
      <c r="W13" s="100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c r="BA13" s="1007"/>
      <c r="BB13" s="1007"/>
      <c r="BC13" s="1007"/>
      <c r="BD13" s="1007"/>
    </row>
    <row r="14" spans="1:56" x14ac:dyDescent="0.2">
      <c r="A14" s="357" t="str">
        <f>IF(Stammblatt!$L$4=1,S16,V16)</f>
        <v>Buch-/Projektentw. (Referenzmittel)</v>
      </c>
      <c r="B14" s="358"/>
      <c r="C14" s="179"/>
      <c r="D14" s="371"/>
      <c r="E14" s="353"/>
      <c r="F14" s="313"/>
      <c r="G14" s="326"/>
      <c r="H14" s="315"/>
      <c r="I14" s="1020"/>
      <c r="J14" s="320"/>
      <c r="K14" s="327"/>
      <c r="L14" s="320"/>
      <c r="M14" s="1007"/>
      <c r="N14" s="179"/>
      <c r="O14" s="371"/>
      <c r="P14" s="371"/>
      <c r="Q14" s="320"/>
      <c r="R14" s="1087"/>
      <c r="S14" s="1007" t="s">
        <v>123</v>
      </c>
      <c r="T14" s="1007"/>
      <c r="U14" s="1007"/>
      <c r="V14" s="1007" t="s">
        <v>536</v>
      </c>
      <c r="W14" s="1007"/>
      <c r="X14" s="1007"/>
      <c r="Y14" s="1007"/>
      <c r="Z14" s="1007"/>
      <c r="AA14" s="1007"/>
      <c r="AB14" s="1007"/>
      <c r="AC14" s="1007"/>
      <c r="AD14" s="1007"/>
      <c r="AE14" s="1007"/>
      <c r="AF14" s="1007"/>
      <c r="AG14" s="1007"/>
      <c r="AH14" s="1007"/>
      <c r="AI14" s="1007"/>
      <c r="AJ14" s="1007"/>
      <c r="AK14" s="1007"/>
      <c r="AL14" s="1007"/>
      <c r="AM14" s="1007"/>
      <c r="AN14" s="1007"/>
      <c r="AO14" s="1007"/>
      <c r="AP14" s="1007"/>
      <c r="AQ14" s="1007"/>
      <c r="AR14" s="1007"/>
      <c r="AS14" s="1007"/>
      <c r="AT14" s="1007"/>
      <c r="AU14" s="1007"/>
      <c r="AV14" s="1007"/>
      <c r="AW14" s="1007"/>
      <c r="AX14" s="1007"/>
      <c r="AY14" s="1007"/>
      <c r="AZ14" s="1007"/>
      <c r="BA14" s="1007"/>
      <c r="BB14" s="1007"/>
      <c r="BC14" s="1007"/>
      <c r="BD14" s="1007"/>
    </row>
    <row r="15" spans="1:56" x14ac:dyDescent="0.2">
      <c r="A15" s="357" t="str">
        <f>IF(Stammblatt!$L$4=1,S17,V17)</f>
        <v>Projektförderung</v>
      </c>
      <c r="B15" s="358"/>
      <c r="C15" s="370">
        <f>D12-C13-C14-C16</f>
        <v>0</v>
      </c>
      <c r="D15" s="371"/>
      <c r="E15" s="353"/>
      <c r="F15" s="313"/>
      <c r="G15" s="326"/>
      <c r="H15" s="315"/>
      <c r="I15" s="1020"/>
      <c r="J15" s="320"/>
      <c r="K15" s="327"/>
      <c r="L15" s="320"/>
      <c r="M15" s="1007"/>
      <c r="N15" s="179"/>
      <c r="O15" s="371"/>
      <c r="P15" s="371"/>
      <c r="Q15" s="320"/>
      <c r="R15" s="1087"/>
      <c r="S15" s="1007" t="s">
        <v>577</v>
      </c>
      <c r="T15" s="1007"/>
      <c r="U15" s="1007"/>
      <c r="V15" s="1007" t="s">
        <v>578</v>
      </c>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7"/>
      <c r="AR15" s="1007"/>
      <c r="AS15" s="1007"/>
      <c r="AT15" s="1007"/>
      <c r="AU15" s="1007"/>
      <c r="AV15" s="1007"/>
      <c r="AW15" s="1007"/>
      <c r="AX15" s="1007"/>
      <c r="AY15" s="1007"/>
      <c r="AZ15" s="1007"/>
      <c r="BA15" s="1007"/>
      <c r="BB15" s="1007"/>
      <c r="BC15" s="1007"/>
      <c r="BD15" s="1007"/>
    </row>
    <row r="16" spans="1:56" x14ac:dyDescent="0.2">
      <c r="A16" s="359" t="str">
        <f>IF(Stammblatt!$L$4=1,S18,V18)</f>
        <v>Referenzfilmförderung</v>
      </c>
      <c r="B16" s="360"/>
      <c r="C16" s="179"/>
      <c r="D16" s="371"/>
      <c r="E16" s="350" t="s">
        <v>151</v>
      </c>
      <c r="F16" s="328"/>
      <c r="G16" s="329"/>
      <c r="H16" s="315"/>
      <c r="I16" s="1016"/>
      <c r="J16" s="320"/>
      <c r="K16" s="330"/>
      <c r="L16" s="320"/>
      <c r="M16" s="1007"/>
      <c r="N16" s="179"/>
      <c r="O16" s="371"/>
      <c r="P16" s="371"/>
      <c r="Q16" s="320"/>
      <c r="R16" s="1087"/>
      <c r="S16" s="1007" t="s">
        <v>580</v>
      </c>
      <c r="T16" s="1007"/>
      <c r="U16" s="1007"/>
      <c r="V16" s="1007" t="s">
        <v>579</v>
      </c>
      <c r="W16" s="1007"/>
      <c r="X16" s="1007"/>
      <c r="Y16" s="1007"/>
      <c r="Z16" s="1007"/>
      <c r="AA16" s="1007"/>
      <c r="AB16" s="1007"/>
      <c r="AC16" s="1007"/>
      <c r="AD16" s="1007"/>
      <c r="AE16" s="1007"/>
      <c r="AF16" s="1007"/>
      <c r="AG16" s="1007"/>
      <c r="AH16" s="1007"/>
      <c r="AI16" s="1007"/>
      <c r="AJ16" s="1007"/>
      <c r="AK16" s="1007"/>
      <c r="AL16" s="1007"/>
      <c r="AM16" s="1007"/>
      <c r="AN16" s="1007"/>
      <c r="AO16" s="1007"/>
      <c r="AP16" s="1007"/>
      <c r="AQ16" s="1007"/>
      <c r="AR16" s="1007"/>
      <c r="AS16" s="1007"/>
      <c r="AT16" s="1007"/>
      <c r="AU16" s="1007"/>
      <c r="AV16" s="1007"/>
      <c r="AW16" s="1007"/>
      <c r="AX16" s="1007"/>
      <c r="AY16" s="1007"/>
      <c r="AZ16" s="1007"/>
      <c r="BA16" s="1007"/>
      <c r="BB16" s="1007"/>
      <c r="BC16" s="1007"/>
      <c r="BD16" s="1007"/>
    </row>
    <row r="17" spans="1:56" ht="21" customHeight="1" x14ac:dyDescent="0.2">
      <c r="A17" s="355" t="s">
        <v>954</v>
      </c>
      <c r="B17" s="356"/>
      <c r="C17" s="378"/>
      <c r="D17" s="1044">
        <f ca="1">SUM(C17:C21)</f>
        <v>0</v>
      </c>
      <c r="E17" s="351">
        <f ca="1">IF($D$4=0,0,D17/$D$4)</f>
        <v>0</v>
      </c>
      <c r="F17" s="321"/>
      <c r="G17" s="323"/>
      <c r="H17" s="315"/>
      <c r="I17" s="1016">
        <f ca="1">D17</f>
        <v>0</v>
      </c>
      <c r="J17" s="320"/>
      <c r="K17" s="330"/>
      <c r="L17" s="320"/>
      <c r="M17" s="1007"/>
      <c r="N17" s="1007"/>
      <c r="O17" s="1044">
        <f>SUM(N18:N21)</f>
        <v>0</v>
      </c>
      <c r="P17" s="1095">
        <f ca="1">O17-D17</f>
        <v>0</v>
      </c>
      <c r="Q17" s="1093"/>
      <c r="R17" s="1087"/>
      <c r="S17" s="1007" t="s">
        <v>124</v>
      </c>
      <c r="T17" s="1007"/>
      <c r="U17" s="1007"/>
      <c r="V17" s="1007" t="s">
        <v>537</v>
      </c>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1007"/>
      <c r="AS17" s="1007"/>
      <c r="AT17" s="1007"/>
      <c r="AU17" s="1007"/>
      <c r="AV17" s="1007"/>
      <c r="AW17" s="1007"/>
      <c r="AX17" s="1007"/>
      <c r="AY17" s="1007"/>
      <c r="AZ17" s="1007"/>
      <c r="BA17" s="1007"/>
      <c r="BB17" s="1007"/>
      <c r="BC17" s="1007"/>
      <c r="BD17" s="1007"/>
    </row>
    <row r="18" spans="1:56" ht="12.75" customHeight="1" x14ac:dyDescent="0.2">
      <c r="A18" s="357" t="str">
        <f>IF(Stammblatt!$L$4=1,S20,V20)</f>
        <v>Basisfinanzierung (30%)</v>
      </c>
      <c r="B18" s="356"/>
      <c r="C18" s="995">
        <f ca="1">ROUNDDOWN(IF(Zusammenfassung!H25&gt;=GHSTK_ges*0.8,GHSTK_ges*0.8*0.3,Zusammenfassung!H25*0.3),-3)</f>
        <v>0</v>
      </c>
      <c r="D18" s="371"/>
      <c r="E18" s="351"/>
      <c r="F18" s="324"/>
      <c r="G18" s="323"/>
      <c r="H18" s="315"/>
      <c r="I18" s="330"/>
      <c r="J18" s="320"/>
      <c r="K18" s="330"/>
      <c r="L18" s="320"/>
      <c r="M18" s="1007"/>
      <c r="N18" s="995">
        <f>ROUNDDOWN(IF(Zusammenfassung!Q25&gt;=Zusammenfassung!AD22*0.8,Zusammenfassung!AD22*0.8*0.3,Zusammenfassung!Q25*0.3),-3)</f>
        <v>0</v>
      </c>
      <c r="O18" s="371"/>
      <c r="P18" s="371"/>
      <c r="Q18" s="320"/>
      <c r="R18" s="1087"/>
      <c r="S18" s="1007" t="s">
        <v>131</v>
      </c>
      <c r="T18" s="1007"/>
      <c r="U18" s="1007"/>
      <c r="V18" s="1007" t="s">
        <v>538</v>
      </c>
      <c r="W18" s="1007"/>
      <c r="X18" s="1007"/>
      <c r="Y18" s="1007"/>
      <c r="Z18" s="1007"/>
      <c r="AA18" s="1007"/>
      <c r="AB18" s="1007"/>
      <c r="AC18" s="1007"/>
      <c r="AD18" s="1007"/>
      <c r="AE18" s="1007"/>
      <c r="AF18" s="1007"/>
      <c r="AG18" s="1007"/>
      <c r="AH18" s="1007"/>
      <c r="AI18" s="1007"/>
      <c r="AJ18" s="1007"/>
      <c r="AK18" s="1007"/>
      <c r="AL18" s="1007"/>
      <c r="AM18" s="1007"/>
      <c r="AN18" s="1007"/>
      <c r="AO18" s="1007"/>
      <c r="AP18" s="1007"/>
      <c r="AQ18" s="1007"/>
      <c r="AR18" s="1007"/>
      <c r="AS18" s="1007"/>
      <c r="AT18" s="1007"/>
      <c r="AU18" s="1007"/>
      <c r="AV18" s="1007"/>
      <c r="AW18" s="1007"/>
      <c r="AX18" s="1007"/>
      <c r="AY18" s="1007"/>
      <c r="AZ18" s="1007"/>
      <c r="BA18" s="1007"/>
      <c r="BB18" s="1007"/>
      <c r="BC18" s="1007"/>
      <c r="BD18" s="1007"/>
    </row>
    <row r="19" spans="1:56" ht="12.75" customHeight="1" x14ac:dyDescent="0.2">
      <c r="A19" s="357" t="s">
        <v>957</v>
      </c>
      <c r="B19" s="356"/>
      <c r="C19" s="995" t="str">
        <f>IF(V21=TRUE,ROUNDDOWN(IF(Zusammenfassung!H25&gt;=GHSTK_ges*0.8,GHSTK_ges*0.8*0.05,Zusammenfassung!H25*0.05),-3),"")</f>
        <v/>
      </c>
      <c r="D19" s="371"/>
      <c r="E19" s="351"/>
      <c r="F19" s="313"/>
      <c r="G19" s="326"/>
      <c r="H19" s="315"/>
      <c r="I19" s="330"/>
      <c r="J19" s="320"/>
      <c r="K19" s="330"/>
      <c r="L19" s="320"/>
      <c r="M19" s="1007"/>
      <c r="N19" s="995" t="str">
        <f>IF(V21=TRUE,ROUNDDOWN(IF(Zusammenfassung!Q25&gt;=Zusammenfassung!AD22*0.8,Zusammenfassung!AD22*0.8*0.05,Zusammenfassung!Q25*0.05),-3),"")</f>
        <v/>
      </c>
      <c r="O19" s="1095"/>
      <c r="P19" s="371"/>
      <c r="Q19" s="320"/>
      <c r="R19" s="1087"/>
      <c r="S19" s="1007"/>
      <c r="T19" s="1007"/>
      <c r="U19" s="1007"/>
      <c r="V19" s="1007"/>
      <c r="W19" s="1007"/>
      <c r="X19" s="1007"/>
      <c r="Y19" s="1007"/>
      <c r="Z19" s="1007"/>
      <c r="AA19" s="1007"/>
      <c r="AB19" s="1007"/>
      <c r="AC19" s="1007"/>
      <c r="AD19" s="1007"/>
      <c r="AE19" s="1007"/>
      <c r="AF19" s="1007"/>
      <c r="AG19" s="1007"/>
      <c r="AH19" s="1007"/>
      <c r="AI19" s="1007"/>
      <c r="AJ19" s="1007"/>
      <c r="AK19" s="1007"/>
      <c r="AL19" s="1007"/>
      <c r="AM19" s="1007"/>
      <c r="AN19" s="1007"/>
      <c r="AO19" s="1007"/>
      <c r="AP19" s="1007"/>
      <c r="AQ19" s="1007"/>
      <c r="AR19" s="1007"/>
      <c r="AS19" s="1007"/>
      <c r="AT19" s="1007"/>
      <c r="AU19" s="1007"/>
      <c r="AV19" s="1007"/>
      <c r="AW19" s="1007"/>
      <c r="AX19" s="1007"/>
      <c r="AY19" s="1007"/>
      <c r="AZ19" s="1007"/>
      <c r="BA19" s="1007"/>
      <c r="BB19" s="1007"/>
      <c r="BC19" s="1007"/>
      <c r="BD19" s="1007"/>
    </row>
    <row r="20" spans="1:56" ht="12.75" customHeight="1" x14ac:dyDescent="0.15">
      <c r="A20" s="357" t="s">
        <v>893</v>
      </c>
      <c r="B20" s="358"/>
      <c r="C20" s="995" t="str">
        <f>IF(V22=TRUE,25000,"")</f>
        <v/>
      </c>
      <c r="D20" s="371"/>
      <c r="E20" s="351"/>
      <c r="F20" s="313"/>
      <c r="G20" s="326"/>
      <c r="H20" s="315"/>
      <c r="I20" s="330"/>
      <c r="J20" s="320"/>
      <c r="K20" s="330"/>
      <c r="L20" s="320"/>
      <c r="M20" s="1007"/>
      <c r="N20" s="179"/>
      <c r="O20" s="371"/>
      <c r="P20" s="371"/>
      <c r="Q20" s="320"/>
      <c r="R20" s="1087"/>
      <c r="S20" s="1007" t="s">
        <v>956</v>
      </c>
      <c r="T20" s="1007"/>
      <c r="U20" s="1007"/>
      <c r="V20" s="1007" t="s">
        <v>1071</v>
      </c>
      <c r="W20" s="1007"/>
      <c r="X20" s="1007"/>
      <c r="Y20" s="1007"/>
      <c r="Z20" s="1007"/>
      <c r="AA20" s="1007"/>
      <c r="AB20" s="1007"/>
      <c r="AC20" s="1007"/>
      <c r="AD20" s="1007"/>
      <c r="AE20" s="1007"/>
      <c r="AF20" s="1007"/>
      <c r="AG20" s="1007"/>
      <c r="AH20" s="1007"/>
      <c r="AI20" s="1007"/>
      <c r="AJ20" s="1007"/>
      <c r="AK20" s="1007"/>
      <c r="AL20" s="1007"/>
      <c r="AM20" s="1007"/>
      <c r="AN20" s="1007"/>
      <c r="AO20" s="1007"/>
      <c r="AP20" s="1007"/>
      <c r="AQ20" s="1007"/>
      <c r="AR20" s="1007"/>
      <c r="AS20" s="1007"/>
      <c r="AT20" s="1007"/>
      <c r="AU20" s="1007"/>
      <c r="AV20" s="1007"/>
      <c r="AW20" s="1007"/>
      <c r="AX20" s="1007"/>
      <c r="AY20" s="1007"/>
      <c r="AZ20" s="1007"/>
      <c r="BA20" s="1007"/>
      <c r="BB20" s="1007"/>
      <c r="BC20" s="1007"/>
      <c r="BD20" s="1007"/>
    </row>
    <row r="21" spans="1:56" ht="12.75" customHeight="1" x14ac:dyDescent="0.2">
      <c r="A21" s="359" t="str">
        <f>IF(Stammblatt!$L$4=1,S23,V23)</f>
        <v>Koproduktionsbonus</v>
      </c>
      <c r="B21" s="360"/>
      <c r="C21" s="995">
        <f ca="1">Zusammenfassung!H24</f>
        <v>0</v>
      </c>
      <c r="D21" s="371"/>
      <c r="E21" s="350"/>
      <c r="F21" s="328"/>
      <c r="G21" s="329"/>
      <c r="H21" s="315"/>
      <c r="I21" s="330"/>
      <c r="J21" s="320"/>
      <c r="K21" s="330"/>
      <c r="L21" s="320"/>
      <c r="M21" s="1007"/>
      <c r="N21" s="995">
        <f>Zusammenfassung!Q24</f>
        <v>0</v>
      </c>
      <c r="O21" s="371"/>
      <c r="P21" s="371"/>
      <c r="Q21" s="320"/>
      <c r="R21" s="1087"/>
      <c r="S21" s="1007" t="s">
        <v>957</v>
      </c>
      <c r="T21" s="1007"/>
      <c r="U21" s="1007"/>
      <c r="V21" s="1008" t="b">
        <v>0</v>
      </c>
      <c r="W21" s="1007"/>
      <c r="X21" s="1007"/>
      <c r="Y21" s="1007"/>
      <c r="Z21" s="1007"/>
      <c r="AA21" s="1007">
        <f>O21*0.35</f>
        <v>0</v>
      </c>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7"/>
      <c r="BA21" s="1007"/>
      <c r="BB21" s="1007"/>
      <c r="BC21" s="1007"/>
      <c r="BD21" s="1007"/>
    </row>
    <row r="22" spans="1:56" ht="21" customHeight="1" x14ac:dyDescent="0.2">
      <c r="A22" s="355" t="str">
        <f>IF(Stammblatt!$L$4=1,S24,V24)</f>
        <v>BMKÖS</v>
      </c>
      <c r="B22" s="356"/>
      <c r="C22" s="378"/>
      <c r="D22" s="182"/>
      <c r="E22" s="350"/>
      <c r="F22" s="321"/>
      <c r="G22" s="323"/>
      <c r="H22" s="315"/>
      <c r="I22" s="1016">
        <f>D22</f>
        <v>0</v>
      </c>
      <c r="J22" s="320"/>
      <c r="K22" s="330"/>
      <c r="L22" s="320"/>
      <c r="M22" s="1007"/>
      <c r="N22" s="1007"/>
      <c r="O22" s="1044">
        <f>SUM(N23:N24)</f>
        <v>0</v>
      </c>
      <c r="P22" s="1095">
        <f>O22-D22</f>
        <v>0</v>
      </c>
      <c r="Q22" s="1093"/>
      <c r="R22" s="1087"/>
      <c r="S22" s="1007" t="s">
        <v>893</v>
      </c>
      <c r="T22" s="1007"/>
      <c r="U22" s="1007"/>
      <c r="V22" s="1008" t="b">
        <v>0</v>
      </c>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c r="AZ22" s="1007"/>
      <c r="BA22" s="1007"/>
      <c r="BB22" s="1007"/>
      <c r="BC22" s="1007"/>
      <c r="BD22" s="1007"/>
    </row>
    <row r="23" spans="1:56" ht="12.75" customHeight="1" x14ac:dyDescent="0.2">
      <c r="A23" s="357" t="str">
        <f>IF(Stammblatt!$L$4=1,S25,V25)</f>
        <v>Entwicklung</v>
      </c>
      <c r="B23" s="358"/>
      <c r="C23" s="179"/>
      <c r="D23" s="371"/>
      <c r="E23" s="350"/>
      <c r="F23" s="324"/>
      <c r="G23" s="323"/>
      <c r="H23" s="315"/>
      <c r="I23" s="330"/>
      <c r="J23" s="320"/>
      <c r="K23" s="330"/>
      <c r="L23" s="320"/>
      <c r="M23" s="1007"/>
      <c r="N23" s="179"/>
      <c r="O23" s="371"/>
      <c r="P23" s="371"/>
      <c r="Q23" s="320"/>
      <c r="R23" s="1087"/>
      <c r="S23" s="1007" t="s">
        <v>958</v>
      </c>
      <c r="T23" s="1007"/>
      <c r="U23" s="1007"/>
      <c r="V23" s="1007" t="s">
        <v>1072</v>
      </c>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7"/>
      <c r="AZ23" s="1007"/>
      <c r="BA23" s="1007"/>
      <c r="BB23" s="1007"/>
      <c r="BC23" s="1007"/>
      <c r="BD23" s="1007"/>
    </row>
    <row r="24" spans="1:56" ht="12.75" customHeight="1" x14ac:dyDescent="0.2">
      <c r="A24" s="359" t="str">
        <f>IF(Stammblatt!$L$4=1,S26,V26)</f>
        <v>Herstellungsförderung</v>
      </c>
      <c r="B24" s="360"/>
      <c r="C24" s="995">
        <f>D22-C23</f>
        <v>0</v>
      </c>
      <c r="D24" s="371"/>
      <c r="E24" s="350"/>
      <c r="F24" s="313"/>
      <c r="G24" s="326"/>
      <c r="H24" s="315"/>
      <c r="I24" s="330"/>
      <c r="J24" s="320"/>
      <c r="K24" s="330"/>
      <c r="L24" s="320"/>
      <c r="M24" s="1007"/>
      <c r="N24" s="179"/>
      <c r="O24" s="371"/>
      <c r="P24" s="371"/>
      <c r="Q24" s="320"/>
      <c r="R24" s="1087"/>
      <c r="S24" s="1007" t="s">
        <v>1112</v>
      </c>
      <c r="T24" s="1007"/>
      <c r="U24" s="1007"/>
      <c r="V24" s="1007" t="s">
        <v>1113</v>
      </c>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c r="AT24" s="1007"/>
      <c r="AU24" s="1007"/>
      <c r="AV24" s="1007"/>
      <c r="AW24" s="1007"/>
      <c r="AX24" s="1007"/>
      <c r="AY24" s="1007"/>
      <c r="AZ24" s="1007"/>
      <c r="BA24" s="1007"/>
      <c r="BB24" s="1007"/>
      <c r="BC24" s="1007"/>
      <c r="BD24" s="1007"/>
    </row>
    <row r="25" spans="1:56" ht="21" customHeight="1" x14ac:dyDescent="0.2">
      <c r="A25" s="355" t="str">
        <f>IF(Stammblatt!$L$4=1,S27,V27)</f>
        <v>Filmfonds Wien</v>
      </c>
      <c r="B25" s="356"/>
      <c r="C25" s="378"/>
      <c r="D25" s="187"/>
      <c r="E25" s="351"/>
      <c r="F25" s="321"/>
      <c r="G25" s="323"/>
      <c r="H25" s="315"/>
      <c r="I25" s="1016">
        <f>D25</f>
        <v>0</v>
      </c>
      <c r="J25" s="320"/>
      <c r="K25" s="330"/>
      <c r="L25" s="320"/>
      <c r="M25" s="1007"/>
      <c r="N25" s="1007"/>
      <c r="O25" s="1044">
        <f>SUM(N26:N28)</f>
        <v>0</v>
      </c>
      <c r="P25" s="1095">
        <f>O25-D25</f>
        <v>0</v>
      </c>
      <c r="Q25" s="1093"/>
      <c r="R25" s="1087"/>
      <c r="S25" s="1007" t="s">
        <v>1114</v>
      </c>
      <c r="T25" s="1007"/>
      <c r="U25" s="1007"/>
      <c r="V25" s="1007" t="s">
        <v>1115</v>
      </c>
      <c r="W25" s="1007"/>
      <c r="X25" s="1007"/>
      <c r="Y25" s="1007"/>
      <c r="Z25" s="1007"/>
      <c r="AA25" s="1007">
        <f>O21*0.25</f>
        <v>0</v>
      </c>
      <c r="AB25" s="1007"/>
      <c r="AC25" s="1007"/>
      <c r="AD25" s="1007"/>
      <c r="AE25" s="1007"/>
      <c r="AF25" s="1007"/>
      <c r="AG25" s="1007"/>
      <c r="AH25" s="1007"/>
      <c r="AI25" s="1007"/>
      <c r="AJ25" s="1007"/>
      <c r="AK25" s="1007"/>
      <c r="AL25" s="1007"/>
      <c r="AM25" s="1007"/>
      <c r="AN25" s="1007"/>
      <c r="AO25" s="1007"/>
      <c r="AP25" s="1007"/>
      <c r="AQ25" s="1007"/>
      <c r="AR25" s="1007"/>
      <c r="AS25" s="1007"/>
      <c r="AT25" s="1007"/>
      <c r="AU25" s="1007"/>
      <c r="AV25" s="1007"/>
      <c r="AW25" s="1007"/>
      <c r="AX25" s="1007"/>
      <c r="AY25" s="1007"/>
      <c r="AZ25" s="1007"/>
      <c r="BA25" s="1007"/>
      <c r="BB25" s="1007"/>
      <c r="BC25" s="1007"/>
      <c r="BD25" s="1007"/>
    </row>
    <row r="26" spans="1:56" ht="12.75" customHeight="1" x14ac:dyDescent="0.15">
      <c r="A26" s="357" t="str">
        <f>IF(Stammblatt!$L$4=1,S28,V28)</f>
        <v>Projektentwicklung</v>
      </c>
      <c r="B26" s="358"/>
      <c r="C26" s="179"/>
      <c r="D26" s="371"/>
      <c r="E26" s="351"/>
      <c r="F26" s="324"/>
      <c r="G26" s="323"/>
      <c r="H26" s="315"/>
      <c r="I26" s="330"/>
      <c r="J26" s="320"/>
      <c r="K26" s="330"/>
      <c r="L26" s="320"/>
      <c r="M26" s="1007"/>
      <c r="N26" s="179"/>
      <c r="O26" s="371"/>
      <c r="P26" s="371"/>
      <c r="Q26" s="320"/>
      <c r="R26" s="1087"/>
      <c r="S26" s="1007" t="s">
        <v>130</v>
      </c>
      <c r="T26" s="1007"/>
      <c r="U26" s="1007"/>
      <c r="V26" s="1007" t="s">
        <v>537</v>
      </c>
      <c r="W26" s="1007"/>
      <c r="X26" s="1007"/>
      <c r="Y26" s="1007"/>
      <c r="Z26" s="1007"/>
      <c r="AA26" s="1007">
        <f>SUM(AA21:AA25)</f>
        <v>0</v>
      </c>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row>
    <row r="27" spans="1:56" ht="12.75" customHeight="1" x14ac:dyDescent="0.15">
      <c r="A27" s="357" t="str">
        <f>IF(Stammblatt!$L$4=1,S29,V29)</f>
        <v>Herstellungsförderung</v>
      </c>
      <c r="B27" s="358"/>
      <c r="C27" s="995">
        <f>D25-C26-C28</f>
        <v>0</v>
      </c>
      <c r="D27" s="371"/>
      <c r="E27" s="351"/>
      <c r="F27" s="313"/>
      <c r="G27" s="326"/>
      <c r="H27" s="315"/>
      <c r="I27" s="330"/>
      <c r="J27" s="320"/>
      <c r="K27" s="330"/>
      <c r="L27" s="320"/>
      <c r="M27" s="1007"/>
      <c r="N27" s="179"/>
      <c r="O27" s="371"/>
      <c r="P27" s="371"/>
      <c r="Q27" s="320"/>
      <c r="R27" s="1087"/>
      <c r="S27" s="1007" t="s">
        <v>128</v>
      </c>
      <c r="T27" s="1007"/>
      <c r="U27" s="1007"/>
      <c r="V27" s="1007" t="s">
        <v>539</v>
      </c>
      <c r="W27" s="1007"/>
      <c r="X27" s="1007"/>
      <c r="Y27" s="1007"/>
      <c r="Z27" s="1007"/>
      <c r="AA27" s="1007"/>
      <c r="AB27" s="1007"/>
      <c r="AC27" s="1007"/>
      <c r="AD27" s="1007"/>
      <c r="AE27" s="1007"/>
      <c r="AF27" s="1007"/>
      <c r="AG27" s="1007"/>
      <c r="AH27" s="1007"/>
      <c r="AI27" s="1007"/>
      <c r="AJ27" s="1007"/>
      <c r="AK27" s="1007"/>
      <c r="AL27" s="1007"/>
      <c r="AM27" s="1007"/>
      <c r="AN27" s="1007"/>
      <c r="AO27" s="1007"/>
      <c r="AP27" s="1007"/>
      <c r="AQ27" s="1007"/>
      <c r="AR27" s="1007"/>
      <c r="AS27" s="1007"/>
      <c r="AT27" s="1007"/>
      <c r="AU27" s="1007"/>
      <c r="AV27" s="1007"/>
      <c r="AW27" s="1007"/>
      <c r="AX27" s="1007"/>
      <c r="AY27" s="1007"/>
      <c r="AZ27" s="1007"/>
      <c r="BA27" s="1007"/>
      <c r="BB27" s="1007"/>
      <c r="BC27" s="1007"/>
      <c r="BD27" s="1007"/>
    </row>
    <row r="28" spans="1:56" ht="12.75" customHeight="1" x14ac:dyDescent="0.15">
      <c r="A28" s="359" t="str">
        <f>IF(Stammblatt!$L$4=1,S30,V30)</f>
        <v>Referenzfilmförderung</v>
      </c>
      <c r="B28" s="358"/>
      <c r="C28" s="179"/>
      <c r="D28" s="371"/>
      <c r="E28" s="351"/>
      <c r="F28" s="313"/>
      <c r="G28" s="326"/>
      <c r="H28" s="315"/>
      <c r="I28" s="330"/>
      <c r="J28" s="320"/>
      <c r="K28" s="330"/>
      <c r="L28" s="320"/>
      <c r="M28" s="1007"/>
      <c r="N28" s="179"/>
      <c r="O28" s="371"/>
      <c r="P28" s="371"/>
      <c r="Q28" s="320"/>
      <c r="R28" s="1087"/>
      <c r="S28" s="1007" t="s">
        <v>129</v>
      </c>
      <c r="T28" s="1007"/>
      <c r="U28" s="1007"/>
      <c r="V28" s="1007" t="s">
        <v>540</v>
      </c>
      <c r="W28" s="1007"/>
      <c r="X28" s="1007"/>
      <c r="Y28" s="1007"/>
      <c r="Z28" s="1007"/>
      <c r="AA28" s="1007"/>
      <c r="AB28" s="1007"/>
      <c r="AC28" s="1007"/>
      <c r="AD28" s="1007"/>
      <c r="AE28" s="1007"/>
      <c r="AF28" s="1007"/>
      <c r="AG28" s="1007"/>
      <c r="AH28" s="1007"/>
      <c r="AI28" s="1007"/>
      <c r="AJ28" s="1007"/>
      <c r="AK28" s="1007"/>
      <c r="AL28" s="1007"/>
      <c r="AM28" s="1007"/>
      <c r="AN28" s="1007"/>
      <c r="AO28" s="1007"/>
      <c r="AP28" s="1007"/>
      <c r="AQ28" s="1007"/>
      <c r="AR28" s="1007"/>
      <c r="AS28" s="1007"/>
      <c r="AT28" s="1007"/>
      <c r="AU28" s="1007"/>
      <c r="AV28" s="1007"/>
      <c r="AW28" s="1007"/>
      <c r="AX28" s="1007"/>
      <c r="AY28" s="1007"/>
      <c r="AZ28" s="1007"/>
      <c r="BA28" s="1007"/>
      <c r="BB28" s="1007"/>
      <c r="BC28" s="1007"/>
      <c r="BD28" s="1007"/>
    </row>
    <row r="29" spans="1:56" ht="21" customHeight="1" x14ac:dyDescent="0.2">
      <c r="A29" s="361" t="str">
        <f>IF(Stammblatt!$L$4=1,S31,V31)</f>
        <v>Sonstige</v>
      </c>
      <c r="B29" s="362"/>
      <c r="C29" s="381"/>
      <c r="D29" s="1014"/>
      <c r="E29" s="351">
        <f ca="1">IF($D$4=0,0,D29/$D$4)</f>
        <v>0</v>
      </c>
      <c r="F29" s="321"/>
      <c r="G29" s="323"/>
      <c r="H29" s="315"/>
      <c r="I29" s="1018">
        <f>D29-K29</f>
        <v>0</v>
      </c>
      <c r="J29" s="1007"/>
      <c r="K29" s="1056"/>
      <c r="L29" s="320"/>
      <c r="M29" s="1007"/>
      <c r="N29" s="1007"/>
      <c r="O29" s="1014"/>
      <c r="P29" s="1095">
        <f>O29-D29</f>
        <v>0</v>
      </c>
      <c r="Q29" s="320"/>
      <c r="R29" s="1087"/>
      <c r="S29" s="1007" t="s">
        <v>130</v>
      </c>
      <c r="T29" s="1007"/>
      <c r="U29" s="1007"/>
      <c r="V29" s="1007" t="s">
        <v>537</v>
      </c>
      <c r="W29" s="1007"/>
      <c r="X29" s="1007"/>
      <c r="Y29" s="1007"/>
      <c r="Z29" s="1007"/>
      <c r="AA29" s="1007"/>
      <c r="AB29" s="1007"/>
      <c r="AC29" s="1007"/>
      <c r="AD29" s="1007"/>
      <c r="AE29" s="1007"/>
      <c r="AF29" s="1007"/>
      <c r="AG29" s="1007"/>
      <c r="AH29" s="1007"/>
      <c r="AI29" s="1007"/>
      <c r="AJ29" s="1007"/>
      <c r="AK29" s="1007"/>
      <c r="AL29" s="1007"/>
      <c r="AM29" s="1007"/>
      <c r="AN29" s="1007"/>
      <c r="AO29" s="1007"/>
      <c r="AP29" s="1007"/>
      <c r="AQ29" s="1007"/>
      <c r="AR29" s="1007"/>
      <c r="AS29" s="1007"/>
      <c r="AT29" s="1007"/>
      <c r="AU29" s="1007"/>
      <c r="AV29" s="1007"/>
      <c r="AW29" s="1007"/>
      <c r="AX29" s="1007"/>
      <c r="AY29" s="1007"/>
      <c r="AZ29" s="1007"/>
      <c r="BA29" s="1007"/>
      <c r="BB29" s="1007"/>
      <c r="BC29" s="1007"/>
      <c r="BD29" s="1007"/>
    </row>
    <row r="30" spans="1:56" ht="21" customHeight="1" x14ac:dyDescent="0.2">
      <c r="A30" s="361" t="str">
        <f>IF(Stammblatt!$L$4=1,S32,V32)</f>
        <v>ORF (Film/Fernseh-Abkommen)</v>
      </c>
      <c r="B30" s="1013"/>
      <c r="C30" s="381"/>
      <c r="D30" s="1014"/>
      <c r="E30" s="351"/>
      <c r="F30" s="321"/>
      <c r="G30" s="323"/>
      <c r="H30" s="315"/>
      <c r="I30" s="1018">
        <f>D30</f>
        <v>0</v>
      </c>
      <c r="J30" s="1007"/>
      <c r="K30" s="1018"/>
      <c r="L30" s="320"/>
      <c r="M30" s="1007"/>
      <c r="N30" s="1007"/>
      <c r="O30" s="1014"/>
      <c r="P30" s="1095">
        <f t="shared" ref="P30:P31" si="0">O30-D30</f>
        <v>0</v>
      </c>
      <c r="Q30" s="320"/>
      <c r="R30" s="1087"/>
      <c r="S30" s="1007" t="s">
        <v>131</v>
      </c>
      <c r="T30" s="1007"/>
      <c r="U30" s="1007"/>
      <c r="V30" s="1007" t="s">
        <v>538</v>
      </c>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row>
    <row r="31" spans="1:56" ht="21" customHeight="1" x14ac:dyDescent="0.2">
      <c r="A31" s="363" t="s">
        <v>216</v>
      </c>
      <c r="B31" s="364"/>
      <c r="C31" s="381"/>
      <c r="D31" s="1015"/>
      <c r="E31" s="351">
        <f ca="1">IF($D$4=0,0,D31/$D$4)</f>
        <v>0</v>
      </c>
      <c r="F31" s="321"/>
      <c r="G31" s="323"/>
      <c r="H31" s="315"/>
      <c r="I31" s="1018">
        <f>D31</f>
        <v>0</v>
      </c>
      <c r="J31" s="1007"/>
      <c r="K31" s="1018"/>
      <c r="L31" s="320"/>
      <c r="M31" s="1007"/>
      <c r="N31" s="1007"/>
      <c r="O31" s="1015"/>
      <c r="P31" s="1095">
        <f t="shared" si="0"/>
        <v>0</v>
      </c>
      <c r="Q31" s="320"/>
      <c r="R31" s="1087"/>
      <c r="S31" s="1007" t="s">
        <v>200</v>
      </c>
      <c r="T31" s="1007"/>
      <c r="U31" s="1007"/>
      <c r="V31" s="1007" t="s">
        <v>371</v>
      </c>
      <c r="W31" s="1007"/>
      <c r="X31" s="1007"/>
      <c r="Y31" s="1007"/>
      <c r="Z31" s="1007"/>
      <c r="AA31" s="1007"/>
      <c r="AB31" s="1007"/>
      <c r="AC31" s="1007"/>
      <c r="AD31" s="1007"/>
      <c r="AE31" s="1007"/>
      <c r="AF31" s="1007"/>
      <c r="AG31" s="1007"/>
      <c r="AH31" s="1007"/>
      <c r="AI31" s="1007"/>
      <c r="AJ31" s="1007"/>
      <c r="AK31" s="1007"/>
      <c r="AL31" s="1007"/>
      <c r="AM31" s="1007"/>
      <c r="AN31" s="1007"/>
      <c r="AO31" s="1007"/>
      <c r="AP31" s="1007"/>
      <c r="AQ31" s="1007"/>
      <c r="AR31" s="1007"/>
      <c r="AS31" s="1007"/>
      <c r="AT31" s="1007"/>
      <c r="AU31" s="1007"/>
      <c r="AV31" s="1007"/>
      <c r="AW31" s="1007"/>
      <c r="AX31" s="1007"/>
      <c r="AY31" s="1007"/>
      <c r="AZ31" s="1007"/>
      <c r="BA31" s="1007"/>
      <c r="BB31" s="1007"/>
      <c r="BC31" s="1007"/>
      <c r="BD31" s="1007"/>
    </row>
    <row r="32" spans="1:56" x14ac:dyDescent="0.2">
      <c r="A32" s="310"/>
      <c r="B32" s="310"/>
      <c r="C32" s="385" t="s">
        <v>254</v>
      </c>
      <c r="D32" s="385">
        <f ca="1">SUM(D5:D31)</f>
        <v>0</v>
      </c>
      <c r="E32" s="386">
        <f ca="1">SUM(E5:E31)</f>
        <v>0</v>
      </c>
      <c r="F32" s="331"/>
      <c r="G32" s="323"/>
      <c r="H32" s="315"/>
      <c r="I32" s="1007"/>
      <c r="J32" s="1007"/>
      <c r="K32" s="1007"/>
      <c r="L32" s="320"/>
      <c r="M32" s="1007"/>
      <c r="N32" s="1007"/>
      <c r="O32" s="1007"/>
      <c r="P32" s="1007"/>
      <c r="Q32" s="1007"/>
      <c r="R32" s="1087"/>
      <c r="S32" s="1007" t="s">
        <v>1105</v>
      </c>
      <c r="T32" s="1007"/>
      <c r="U32" s="1007"/>
      <c r="V32" s="1007" t="s">
        <v>1106</v>
      </c>
      <c r="W32" s="1007"/>
      <c r="X32" s="1007"/>
      <c r="Y32" s="1007"/>
      <c r="Z32" s="1007"/>
      <c r="AA32" s="1007"/>
      <c r="AB32" s="1007"/>
      <c r="AC32" s="1007"/>
      <c r="AD32" s="1007"/>
      <c r="AE32" s="1007"/>
      <c r="AF32" s="1007"/>
      <c r="AG32" s="1007"/>
      <c r="AH32" s="1007"/>
      <c r="AI32" s="1007"/>
      <c r="AJ32" s="1007"/>
      <c r="AK32" s="1007"/>
      <c r="AL32" s="1007"/>
      <c r="AM32" s="1007"/>
      <c r="AN32" s="1007"/>
      <c r="AO32" s="1007"/>
      <c r="AP32" s="1007"/>
      <c r="AQ32" s="1007"/>
      <c r="AR32" s="1007"/>
      <c r="AS32" s="1007"/>
      <c r="AT32" s="1007"/>
      <c r="AU32" s="1007"/>
      <c r="AV32" s="1007"/>
      <c r="AW32" s="1007"/>
      <c r="AX32" s="1007"/>
      <c r="AY32" s="1007"/>
      <c r="AZ32" s="1007"/>
      <c r="BA32" s="1007"/>
      <c r="BB32" s="1007"/>
      <c r="BC32" s="1007"/>
      <c r="BD32" s="1007"/>
    </row>
    <row r="33" spans="1:56" x14ac:dyDescent="0.2">
      <c r="A33" s="310"/>
      <c r="B33" s="310"/>
      <c r="C33" s="310"/>
      <c r="D33" s="310"/>
      <c r="E33" s="354"/>
      <c r="F33" s="331"/>
      <c r="G33" s="326"/>
      <c r="H33" s="315"/>
      <c r="I33" s="1007"/>
      <c r="J33" s="1007"/>
      <c r="K33" s="1007"/>
      <c r="L33" s="320"/>
      <c r="M33" s="1007"/>
      <c r="N33" s="1007"/>
      <c r="O33" s="1007"/>
      <c r="P33" s="1007"/>
      <c r="Q33" s="1007"/>
      <c r="R33" s="1087"/>
      <c r="S33" s="1007"/>
      <c r="T33" s="1007"/>
      <c r="U33" s="1007"/>
      <c r="V33" s="1007"/>
      <c r="W33" s="1007"/>
      <c r="X33" s="1007"/>
      <c r="Y33" s="1007"/>
      <c r="Z33" s="1007"/>
      <c r="AA33" s="1007"/>
      <c r="AB33" s="1007"/>
      <c r="AC33" s="1007"/>
      <c r="AD33" s="1007"/>
      <c r="AE33" s="1007"/>
      <c r="AF33" s="1007"/>
      <c r="AG33" s="1007"/>
      <c r="AH33" s="1007"/>
      <c r="AI33" s="1007"/>
      <c r="AJ33" s="1007"/>
      <c r="AK33" s="1007"/>
      <c r="AL33" s="1007"/>
      <c r="AM33" s="1007"/>
      <c r="AN33" s="1007"/>
      <c r="AO33" s="1007"/>
      <c r="AP33" s="1007"/>
      <c r="AQ33" s="1007"/>
      <c r="AR33" s="1007"/>
      <c r="AS33" s="1007"/>
      <c r="AT33" s="1007"/>
      <c r="AU33" s="1007"/>
      <c r="AV33" s="1007"/>
      <c r="AW33" s="1007"/>
      <c r="AX33" s="1007"/>
      <c r="AY33" s="1007"/>
      <c r="AZ33" s="1007"/>
      <c r="BA33" s="1007"/>
      <c r="BB33" s="1007"/>
      <c r="BC33" s="1007"/>
      <c r="BD33" s="1007"/>
    </row>
    <row r="34" spans="1:56" ht="21" customHeight="1" outlineLevel="1" x14ac:dyDescent="0.2">
      <c r="A34" s="109" t="str">
        <f>IF(Stammblatt!L4=1,Finanzierungsplan!S4 &amp; Stammblatt!B34,Finanzierungsplan!V4 &amp; Stammblatt!B34)</f>
        <v>Finanzierung A</v>
      </c>
      <c r="B34" s="109"/>
      <c r="C34" s="74"/>
      <c r="D34" s="154">
        <f>FIN_A</f>
        <v>0</v>
      </c>
      <c r="E34" s="106">
        <f>IF(D34=0,0,D34/$D$67)</f>
        <v>0</v>
      </c>
      <c r="F34" s="331"/>
      <c r="G34" s="326"/>
      <c r="H34" s="315"/>
      <c r="I34" s="1017">
        <f>SUM(I35:I42)</f>
        <v>0</v>
      </c>
      <c r="J34" s="316">
        <f ca="1">IF($I$67=0,,I34/$I$67)</f>
        <v>0</v>
      </c>
      <c r="K34" s="1017">
        <f>SUM(K35:K42)</f>
        <v>0</v>
      </c>
      <c r="L34" s="1021">
        <f>IF($K$67=0,,K34/$K$67)</f>
        <v>0</v>
      </c>
      <c r="M34" s="1007"/>
      <c r="N34" s="1007"/>
      <c r="O34" s="154">
        <f>SUM(O35:O42)</f>
        <v>0</v>
      </c>
      <c r="P34" s="154">
        <f>SUM(P35:P42)</f>
        <v>0</v>
      </c>
      <c r="Q34" s="155">
        <f>IF(O34=0,0,O34/$O$67)</f>
        <v>0</v>
      </c>
      <c r="R34" s="1087"/>
      <c r="S34" s="1007" t="s">
        <v>268</v>
      </c>
      <c r="T34" s="1007"/>
      <c r="U34" s="1007"/>
      <c r="V34" s="1007"/>
      <c r="W34" s="1007"/>
      <c r="X34" s="1007"/>
      <c r="Y34" s="1007"/>
      <c r="Z34" s="1007"/>
      <c r="AA34" s="1007"/>
      <c r="AB34" s="1007"/>
      <c r="AC34" s="1007"/>
      <c r="AD34" s="1007"/>
      <c r="AE34" s="1007"/>
      <c r="AF34" s="1007"/>
      <c r="AG34" s="1007"/>
      <c r="AH34" s="1007"/>
      <c r="AI34" s="1007"/>
      <c r="AJ34" s="1007"/>
      <c r="AK34" s="1007"/>
      <c r="AL34" s="1007"/>
      <c r="AM34" s="1007"/>
      <c r="AN34" s="1007"/>
      <c r="AO34" s="1007"/>
      <c r="AP34" s="1007"/>
      <c r="AQ34" s="1007"/>
      <c r="AR34" s="1007"/>
      <c r="AS34" s="1007"/>
      <c r="AT34" s="1007"/>
      <c r="AU34" s="1007"/>
      <c r="AV34" s="1007"/>
      <c r="AW34" s="1007"/>
      <c r="AX34" s="1007"/>
      <c r="AY34" s="1007"/>
      <c r="AZ34" s="1007"/>
      <c r="BA34" s="1007"/>
      <c r="BB34" s="1007"/>
      <c r="BC34" s="1007"/>
      <c r="BD34" s="1007"/>
    </row>
    <row r="35" spans="1:56" outlineLevel="1" x14ac:dyDescent="0.2">
      <c r="A35" s="345" t="str">
        <f>IF(Stammblatt!$L$4=1,S35,V35)</f>
        <v>Eigenanteil</v>
      </c>
      <c r="B35" s="345"/>
      <c r="C35" s="346"/>
      <c r="D35" s="183"/>
      <c r="E35" s="350"/>
      <c r="F35" s="332"/>
      <c r="G35" s="322"/>
      <c r="H35" s="315"/>
      <c r="I35" s="1018">
        <f>D35</f>
        <v>0</v>
      </c>
      <c r="J35" s="1007"/>
      <c r="K35" s="1018"/>
      <c r="L35" s="320"/>
      <c r="M35" s="1007"/>
      <c r="N35" s="1007"/>
      <c r="O35" s="183"/>
      <c r="P35" s="1095">
        <f t="shared" ref="P35:P42" si="1">O35-D35</f>
        <v>0</v>
      </c>
      <c r="Q35" s="320"/>
      <c r="R35" s="1087"/>
      <c r="S35" s="1007" t="s">
        <v>217</v>
      </c>
      <c r="T35" s="1007"/>
      <c r="U35" s="1007"/>
      <c r="V35" s="1007" t="s">
        <v>533</v>
      </c>
      <c r="W35" s="1007"/>
      <c r="X35" s="1007"/>
      <c r="Y35" s="1007"/>
      <c r="Z35" s="1007"/>
      <c r="AA35" s="1007"/>
      <c r="AB35" s="1007"/>
      <c r="AC35" s="1007"/>
      <c r="AD35" s="1007"/>
      <c r="AE35" s="1007"/>
      <c r="AF35" s="1007"/>
      <c r="AG35" s="1007"/>
      <c r="AH35" s="1007"/>
      <c r="AI35" s="1007"/>
      <c r="AJ35" s="1007"/>
      <c r="AK35" s="1007"/>
      <c r="AL35" s="1007"/>
      <c r="AM35" s="1007"/>
      <c r="AN35" s="1007"/>
      <c r="AO35" s="1007"/>
      <c r="AP35" s="1007"/>
      <c r="AQ35" s="1007"/>
      <c r="AR35" s="1007"/>
      <c r="AS35" s="1007"/>
      <c r="AT35" s="1007"/>
      <c r="AU35" s="1007"/>
      <c r="AV35" s="1007"/>
      <c r="AW35" s="1007"/>
      <c r="AX35" s="1007"/>
      <c r="AY35" s="1007"/>
      <c r="AZ35" s="1007"/>
      <c r="BA35" s="1007"/>
      <c r="BB35" s="1007"/>
      <c r="BC35" s="1007"/>
      <c r="BD35" s="1007"/>
    </row>
    <row r="36" spans="1:56" outlineLevel="1" x14ac:dyDescent="0.2">
      <c r="A36" s="347" t="str">
        <f>IF(Stammblatt!$L$4=1,S36,V36)</f>
        <v>Lizenzen, Garantien etc.</v>
      </c>
      <c r="B36" s="345"/>
      <c r="C36" s="346"/>
      <c r="D36" s="183"/>
      <c r="E36" s="350"/>
      <c r="F36" s="332"/>
      <c r="G36" s="322"/>
      <c r="H36" s="315"/>
      <c r="I36" s="1018"/>
      <c r="J36" s="1007"/>
      <c r="K36" s="1018">
        <f>D36</f>
        <v>0</v>
      </c>
      <c r="L36" s="320"/>
      <c r="M36" s="1007"/>
      <c r="N36" s="1007"/>
      <c r="O36" s="183"/>
      <c r="P36" s="1095">
        <f t="shared" si="1"/>
        <v>0</v>
      </c>
      <c r="Q36" s="320"/>
      <c r="R36" s="1087"/>
      <c r="S36" s="1007" t="s">
        <v>273</v>
      </c>
      <c r="T36" s="1007"/>
      <c r="U36" s="1007"/>
      <c r="V36" s="1007" t="s">
        <v>535</v>
      </c>
      <c r="W36" s="1007"/>
      <c r="X36" s="1007"/>
      <c r="Y36" s="1007"/>
      <c r="Z36" s="1007"/>
      <c r="AA36" s="1007"/>
      <c r="AB36" s="1007"/>
      <c r="AC36" s="1007"/>
      <c r="AD36" s="1007"/>
      <c r="AE36" s="1007"/>
      <c r="AF36" s="1007"/>
      <c r="AG36" s="1007"/>
      <c r="AH36" s="1007"/>
      <c r="AI36" s="1007"/>
      <c r="AJ36" s="1007"/>
      <c r="AK36" s="1007"/>
      <c r="AL36" s="1007"/>
      <c r="AM36" s="1007"/>
      <c r="AN36" s="1007"/>
      <c r="AO36" s="1007"/>
      <c r="AP36" s="1007"/>
      <c r="AQ36" s="1007"/>
      <c r="AR36" s="1007"/>
      <c r="AS36" s="1007"/>
      <c r="AT36" s="1007"/>
      <c r="AU36" s="1007"/>
      <c r="AV36" s="1007"/>
      <c r="AW36" s="1007"/>
      <c r="AX36" s="1007"/>
      <c r="AY36" s="1007"/>
      <c r="AZ36" s="1007"/>
      <c r="BA36" s="1007"/>
      <c r="BB36" s="1007"/>
      <c r="BC36" s="1007"/>
      <c r="BD36" s="1007"/>
    </row>
    <row r="37" spans="1:56" outlineLevel="1" x14ac:dyDescent="0.2">
      <c r="A37" s="345" t="str">
        <f>IF(Stammblatt!$L$4=1,S37,V37)</f>
        <v>Förderung 1</v>
      </c>
      <c r="B37" s="345"/>
      <c r="C37" s="346"/>
      <c r="D37" s="183"/>
      <c r="E37" s="350"/>
      <c r="F37" s="332"/>
      <c r="G37" s="322"/>
      <c r="H37" s="315"/>
      <c r="I37" s="1018">
        <f>D37</f>
        <v>0</v>
      </c>
      <c r="J37" s="1007"/>
      <c r="K37" s="1018"/>
      <c r="L37" s="320"/>
      <c r="M37" s="1007"/>
      <c r="N37" s="1007"/>
      <c r="O37" s="183"/>
      <c r="P37" s="1095">
        <f t="shared" si="1"/>
        <v>0</v>
      </c>
      <c r="Q37" s="1093"/>
      <c r="R37" s="1087"/>
      <c r="S37" s="1007" t="s">
        <v>218</v>
      </c>
      <c r="T37" s="1007"/>
      <c r="U37" s="1007"/>
      <c r="V37" s="1007" t="s">
        <v>541</v>
      </c>
      <c r="W37" s="1007"/>
      <c r="X37" s="1007"/>
      <c r="Y37" s="1007"/>
      <c r="Z37" s="1007"/>
      <c r="AA37" s="1007"/>
      <c r="AB37" s="1007"/>
      <c r="AC37" s="1007"/>
      <c r="AD37" s="1007"/>
      <c r="AE37" s="1007"/>
      <c r="AF37" s="1007"/>
      <c r="AG37" s="1007"/>
      <c r="AH37" s="1007"/>
      <c r="AI37" s="1007"/>
      <c r="AJ37" s="1007"/>
      <c r="AK37" s="1007"/>
      <c r="AL37" s="1007"/>
      <c r="AM37" s="1007"/>
      <c r="AN37" s="1007"/>
      <c r="AO37" s="1007"/>
      <c r="AP37" s="1007"/>
      <c r="AQ37" s="1007"/>
      <c r="AR37" s="1007"/>
      <c r="AS37" s="1007"/>
      <c r="AT37" s="1007"/>
      <c r="AU37" s="1007"/>
      <c r="AV37" s="1007"/>
      <c r="AW37" s="1007"/>
      <c r="AX37" s="1007"/>
      <c r="AY37" s="1007"/>
      <c r="AZ37" s="1007"/>
      <c r="BA37" s="1007"/>
      <c r="BB37" s="1007"/>
      <c r="BC37" s="1007"/>
      <c r="BD37" s="1007"/>
    </row>
    <row r="38" spans="1:56" outlineLevel="1" x14ac:dyDescent="0.2">
      <c r="A38" s="345" t="str">
        <f>IF(Stammblatt!$L$4=1,S38,V38)</f>
        <v>Förderung 2</v>
      </c>
      <c r="B38" s="345"/>
      <c r="C38" s="346"/>
      <c r="D38" s="183"/>
      <c r="E38" s="350"/>
      <c r="F38" s="332"/>
      <c r="G38" s="323"/>
      <c r="H38" s="315"/>
      <c r="I38" s="1018">
        <f>D38</f>
        <v>0</v>
      </c>
      <c r="J38" s="1007"/>
      <c r="K38" s="1018"/>
      <c r="L38" s="320"/>
      <c r="M38" s="1007"/>
      <c r="N38" s="1007"/>
      <c r="O38" s="183"/>
      <c r="P38" s="1095">
        <f t="shared" si="1"/>
        <v>0</v>
      </c>
      <c r="Q38" s="320"/>
      <c r="R38" s="1087"/>
      <c r="S38" s="1007" t="s">
        <v>219</v>
      </c>
      <c r="T38" s="1007"/>
      <c r="U38" s="1007"/>
      <c r="V38" s="1007" t="s">
        <v>542</v>
      </c>
      <c r="W38" s="1007"/>
      <c r="X38" s="1007"/>
      <c r="Y38" s="1007"/>
      <c r="Z38" s="1007"/>
      <c r="AA38" s="1007"/>
      <c r="AB38" s="1007"/>
      <c r="AC38" s="1007"/>
      <c r="AD38" s="1007"/>
      <c r="AE38" s="1007"/>
      <c r="AF38" s="1007"/>
      <c r="AG38" s="1007"/>
      <c r="AH38" s="1007"/>
      <c r="AI38" s="1007"/>
      <c r="AJ38" s="1007"/>
      <c r="AK38" s="1007"/>
      <c r="AL38" s="1007"/>
      <c r="AM38" s="1007"/>
      <c r="AN38" s="1007"/>
      <c r="AO38" s="1007"/>
      <c r="AP38" s="1007"/>
      <c r="AQ38" s="1007"/>
      <c r="AR38" s="1007"/>
      <c r="AS38" s="1007"/>
      <c r="AT38" s="1007"/>
      <c r="AU38" s="1007"/>
      <c r="AV38" s="1007"/>
      <c r="AW38" s="1007"/>
      <c r="AX38" s="1007"/>
      <c r="AY38" s="1007"/>
      <c r="AZ38" s="1007"/>
      <c r="BA38" s="1007"/>
      <c r="BB38" s="1007"/>
      <c r="BC38" s="1007"/>
      <c r="BD38" s="1007"/>
    </row>
    <row r="39" spans="1:56" outlineLevel="1" x14ac:dyDescent="0.2">
      <c r="A39" s="345" t="str">
        <f>IF(Stammblatt!$L$4=1,S39,V39)</f>
        <v>Förderung 3</v>
      </c>
      <c r="B39" s="345"/>
      <c r="C39" s="346"/>
      <c r="D39" s="183"/>
      <c r="E39" s="350"/>
      <c r="F39" s="332"/>
      <c r="G39" s="323"/>
      <c r="H39" s="315"/>
      <c r="I39" s="1018">
        <f>D39</f>
        <v>0</v>
      </c>
      <c r="J39" s="1007"/>
      <c r="K39" s="1018"/>
      <c r="L39" s="320"/>
      <c r="M39" s="1007"/>
      <c r="N39" s="1007"/>
      <c r="O39" s="183"/>
      <c r="P39" s="1095">
        <f t="shared" si="1"/>
        <v>0</v>
      </c>
      <c r="Q39" s="320"/>
      <c r="R39" s="1087"/>
      <c r="S39" s="1007" t="s">
        <v>263</v>
      </c>
      <c r="T39" s="1007"/>
      <c r="U39" s="1007"/>
      <c r="V39" s="1007" t="s">
        <v>543</v>
      </c>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c r="AR39" s="1007"/>
      <c r="AS39" s="1007"/>
      <c r="AT39" s="1007"/>
      <c r="AU39" s="1007"/>
      <c r="AV39" s="1007"/>
      <c r="AW39" s="1007"/>
      <c r="AX39" s="1007"/>
      <c r="AY39" s="1007"/>
      <c r="AZ39" s="1007"/>
      <c r="BA39" s="1007"/>
      <c r="BB39" s="1007"/>
      <c r="BC39" s="1007"/>
      <c r="BD39" s="1007"/>
    </row>
    <row r="40" spans="1:56" outlineLevel="1" x14ac:dyDescent="0.2">
      <c r="A40" s="345" t="str">
        <f>IF(Stammblatt!$L$4=1,S40,V40)</f>
        <v>Sonstige</v>
      </c>
      <c r="B40" s="345"/>
      <c r="C40" s="346"/>
      <c r="D40" s="183"/>
      <c r="E40" s="350"/>
      <c r="F40" s="332"/>
      <c r="G40" s="323"/>
      <c r="H40" s="315"/>
      <c r="I40" s="1018">
        <f>D40-K40</f>
        <v>0</v>
      </c>
      <c r="J40" s="1007"/>
      <c r="K40" s="1056">
        <f>D40</f>
        <v>0</v>
      </c>
      <c r="L40" s="320"/>
      <c r="M40" s="1007"/>
      <c r="N40" s="1007"/>
      <c r="O40" s="183"/>
      <c r="P40" s="1095">
        <f t="shared" si="1"/>
        <v>0</v>
      </c>
      <c r="Q40" s="1093"/>
      <c r="R40" s="1087"/>
      <c r="S40" s="1007" t="s">
        <v>200</v>
      </c>
      <c r="T40" s="1007"/>
      <c r="U40" s="1007"/>
      <c r="V40" s="1007" t="s">
        <v>371</v>
      </c>
      <c r="W40" s="1007"/>
      <c r="X40" s="1007"/>
      <c r="Y40" s="1007"/>
      <c r="Z40" s="1007"/>
      <c r="AA40" s="1007"/>
      <c r="AB40" s="1007"/>
      <c r="AC40" s="1007"/>
      <c r="AD40" s="1007"/>
      <c r="AE40" s="1007"/>
      <c r="AF40" s="1007"/>
      <c r="AG40" s="1007"/>
      <c r="AH40" s="1007"/>
      <c r="AI40" s="1007"/>
      <c r="AJ40" s="1007"/>
      <c r="AK40" s="1007"/>
      <c r="AL40" s="1007"/>
      <c r="AM40" s="1007"/>
      <c r="AN40" s="1007"/>
      <c r="AO40" s="1007"/>
      <c r="AP40" s="1007"/>
      <c r="AQ40" s="1007"/>
      <c r="AR40" s="1007"/>
      <c r="AS40" s="1007"/>
      <c r="AT40" s="1007"/>
      <c r="AU40" s="1007"/>
      <c r="AV40" s="1007"/>
      <c r="AW40" s="1007"/>
      <c r="AX40" s="1007"/>
      <c r="AY40" s="1007"/>
      <c r="AZ40" s="1007"/>
      <c r="BA40" s="1007"/>
      <c r="BB40" s="1007"/>
      <c r="BC40" s="1007"/>
      <c r="BD40" s="1007"/>
    </row>
    <row r="41" spans="1:56" outlineLevel="1" x14ac:dyDescent="0.15">
      <c r="A41" s="345" t="s">
        <v>216</v>
      </c>
      <c r="B41" s="345"/>
      <c r="C41" s="346"/>
      <c r="D41" s="183"/>
      <c r="E41" s="351"/>
      <c r="F41" s="332"/>
      <c r="G41" s="323"/>
      <c r="H41" s="315"/>
      <c r="I41" s="1018">
        <f>D41</f>
        <v>0</v>
      </c>
      <c r="J41" s="1007"/>
      <c r="K41" s="1018"/>
      <c r="L41" s="320"/>
      <c r="M41" s="1007"/>
      <c r="N41" s="1007"/>
      <c r="O41" s="183"/>
      <c r="P41" s="1095">
        <f t="shared" si="1"/>
        <v>0</v>
      </c>
      <c r="Q41" s="320"/>
      <c r="R41" s="1087"/>
      <c r="S41" s="1007" t="s">
        <v>216</v>
      </c>
      <c r="T41" s="1007"/>
      <c r="U41" s="1007"/>
      <c r="V41" s="1007"/>
      <c r="W41" s="1007"/>
      <c r="X41" s="1007"/>
      <c r="Y41" s="1007"/>
      <c r="Z41" s="1007"/>
      <c r="AA41" s="1007"/>
      <c r="AB41" s="1007"/>
      <c r="AC41" s="1007"/>
      <c r="AD41" s="1007"/>
      <c r="AE41" s="1007"/>
      <c r="AF41" s="1007"/>
      <c r="AG41" s="1007"/>
      <c r="AH41" s="1007"/>
      <c r="AI41" s="1007"/>
      <c r="AJ41" s="1007"/>
      <c r="AK41" s="1007"/>
      <c r="AL41" s="1007"/>
      <c r="AM41" s="1007"/>
      <c r="AN41" s="1007"/>
      <c r="AO41" s="1007"/>
      <c r="AP41" s="1007"/>
      <c r="AQ41" s="1007"/>
      <c r="AR41" s="1007"/>
      <c r="AS41" s="1007"/>
      <c r="AT41" s="1007"/>
      <c r="AU41" s="1007"/>
      <c r="AV41" s="1007"/>
      <c r="AW41" s="1007"/>
      <c r="AX41" s="1007"/>
      <c r="AY41" s="1007"/>
      <c r="AZ41" s="1007"/>
      <c r="BA41" s="1007"/>
      <c r="BB41" s="1007"/>
      <c r="BC41" s="1007"/>
      <c r="BD41" s="1007"/>
    </row>
    <row r="42" spans="1:56" outlineLevel="1" x14ac:dyDescent="0.2">
      <c r="A42" s="345" t="str">
        <f>IF(Stammblatt!$L$4=1,S42,V42)</f>
        <v>TV-Anstalt</v>
      </c>
      <c r="B42" s="345"/>
      <c r="C42" s="346"/>
      <c r="D42" s="183"/>
      <c r="E42" s="350"/>
      <c r="F42" s="332"/>
      <c r="G42" s="333"/>
      <c r="H42" s="315"/>
      <c r="I42" s="1018">
        <f>D42-K42</f>
        <v>0</v>
      </c>
      <c r="J42" s="1020"/>
      <c r="K42" s="1056"/>
      <c r="L42" s="320"/>
      <c r="M42" s="1007"/>
      <c r="N42" s="1007"/>
      <c r="O42" s="183"/>
      <c r="P42" s="1095">
        <f t="shared" si="1"/>
        <v>0</v>
      </c>
      <c r="Q42" s="320"/>
      <c r="R42" s="1087"/>
      <c r="S42" s="1007" t="s">
        <v>262</v>
      </c>
      <c r="T42" s="1007"/>
      <c r="U42" s="1007"/>
      <c r="V42" s="1007" t="s">
        <v>544</v>
      </c>
      <c r="W42" s="1007"/>
      <c r="X42" s="1007"/>
      <c r="Y42" s="1007"/>
      <c r="Z42" s="1007"/>
      <c r="AA42" s="1007"/>
      <c r="AB42" s="1007"/>
      <c r="AC42" s="1007"/>
      <c r="AD42" s="1007"/>
      <c r="AE42" s="1007"/>
      <c r="AF42" s="1007"/>
      <c r="AG42" s="1007"/>
      <c r="AH42" s="1007"/>
      <c r="AI42" s="1007"/>
      <c r="AJ42" s="1007"/>
      <c r="AK42" s="1007"/>
      <c r="AL42" s="1007"/>
      <c r="AM42" s="1007"/>
      <c r="AN42" s="1007"/>
      <c r="AO42" s="1007"/>
      <c r="AP42" s="1007"/>
      <c r="AQ42" s="1007"/>
      <c r="AR42" s="1007"/>
      <c r="AS42" s="1007"/>
      <c r="AT42" s="1007"/>
      <c r="AU42" s="1007"/>
      <c r="AV42" s="1007"/>
      <c r="AW42" s="1007"/>
      <c r="AX42" s="1007"/>
      <c r="AY42" s="1007"/>
      <c r="AZ42" s="1007"/>
      <c r="BA42" s="1007"/>
      <c r="BB42" s="1007"/>
      <c r="BC42" s="1007"/>
      <c r="BD42" s="1007"/>
    </row>
    <row r="43" spans="1:56" ht="12.75" customHeight="1" outlineLevel="1" x14ac:dyDescent="0.2">
      <c r="A43" s="310"/>
      <c r="B43" s="310"/>
      <c r="C43" s="385" t="s">
        <v>254</v>
      </c>
      <c r="D43" s="385">
        <f>SUM(D35:D42)</f>
        <v>0</v>
      </c>
      <c r="E43" s="387"/>
      <c r="F43" s="331"/>
      <c r="G43" s="326"/>
      <c r="H43" s="315"/>
      <c r="I43" s="1007"/>
      <c r="J43" s="1007"/>
      <c r="K43" s="1007"/>
      <c r="L43" s="320"/>
      <c r="M43" s="1007"/>
      <c r="N43" s="1007"/>
      <c r="O43" s="1007"/>
      <c r="P43" s="1087"/>
      <c r="Q43" s="1087"/>
      <c r="R43" s="108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7"/>
      <c r="AQ43" s="1007"/>
      <c r="AR43" s="1007"/>
      <c r="AS43" s="1007"/>
      <c r="AT43" s="1007"/>
      <c r="AU43" s="1007"/>
      <c r="AV43" s="1007"/>
      <c r="AW43" s="1007"/>
      <c r="AX43" s="1007"/>
      <c r="AY43" s="1007"/>
      <c r="AZ43" s="1007"/>
      <c r="BA43" s="1007"/>
      <c r="BB43" s="1007"/>
      <c r="BC43" s="1007"/>
      <c r="BD43" s="1007"/>
    </row>
    <row r="44" spans="1:56" x14ac:dyDescent="0.2">
      <c r="A44" s="310"/>
      <c r="B44" s="310"/>
      <c r="C44" s="339"/>
      <c r="D44" s="339"/>
      <c r="E44" s="353"/>
      <c r="F44" s="331"/>
      <c r="G44" s="326"/>
      <c r="H44" s="315"/>
      <c r="I44" s="1007"/>
      <c r="J44" s="1007"/>
      <c r="K44" s="1007"/>
      <c r="L44" s="320"/>
      <c r="M44" s="1007"/>
      <c r="N44" s="1007"/>
      <c r="O44" s="1007"/>
      <c r="P44" s="1007"/>
      <c r="Q44" s="1007"/>
      <c r="R44" s="1087"/>
      <c r="S44" s="1007"/>
      <c r="T44" s="1007"/>
      <c r="U44" s="1007"/>
      <c r="V44" s="1007"/>
      <c r="W44" s="1007"/>
      <c r="X44" s="1007"/>
      <c r="Y44" s="1007"/>
      <c r="Z44" s="1007"/>
      <c r="AA44" s="1007"/>
      <c r="AB44" s="1007"/>
      <c r="AC44" s="1007"/>
      <c r="AD44" s="1007"/>
      <c r="AE44" s="1007"/>
      <c r="AF44" s="1007"/>
      <c r="AG44" s="1007"/>
      <c r="AH44" s="1007"/>
      <c r="AI44" s="1007"/>
      <c r="AJ44" s="1007"/>
      <c r="AK44" s="1007"/>
      <c r="AL44" s="1007"/>
      <c r="AM44" s="1007"/>
      <c r="AN44" s="1007"/>
      <c r="AO44" s="1007"/>
      <c r="AP44" s="1007"/>
      <c r="AQ44" s="1007"/>
      <c r="AR44" s="1007"/>
      <c r="AS44" s="1007"/>
      <c r="AT44" s="1007"/>
      <c r="AU44" s="1007"/>
      <c r="AV44" s="1007"/>
      <c r="AW44" s="1007"/>
      <c r="AX44" s="1007"/>
      <c r="AY44" s="1007"/>
      <c r="AZ44" s="1007"/>
      <c r="BA44" s="1007"/>
      <c r="BB44" s="1007"/>
      <c r="BC44" s="1007"/>
      <c r="BD44" s="1007"/>
    </row>
    <row r="45" spans="1:56" ht="21" customHeight="1" outlineLevel="1" x14ac:dyDescent="0.2">
      <c r="A45" s="109" t="str">
        <f>IF(Stammblatt!L4=1,Finanzierungsplan!S4 &amp; Stammblatt!B35,Finanzierungsplan!V4 &amp; Stammblatt!B35)</f>
        <v>Finanzierung B</v>
      </c>
      <c r="B45" s="109"/>
      <c r="C45" s="74"/>
      <c r="D45" s="154">
        <f>FIN_B</f>
        <v>0</v>
      </c>
      <c r="E45" s="106">
        <f>IF(D45=0,0,D45/$D$67)</f>
        <v>0</v>
      </c>
      <c r="F45" s="331"/>
      <c r="G45" s="326"/>
      <c r="H45" s="315"/>
      <c r="I45" s="1017">
        <f>SUM(I46:I53)</f>
        <v>0</v>
      </c>
      <c r="J45" s="316">
        <f ca="1">IF($I$67=0,,I45/$I$67)</f>
        <v>0</v>
      </c>
      <c r="K45" s="1017">
        <f>SUM(K46:K53)</f>
        <v>0</v>
      </c>
      <c r="L45" s="1021">
        <f>IF($K$67=0,,K45/$K$67)</f>
        <v>0</v>
      </c>
      <c r="M45" s="1007"/>
      <c r="N45" s="1007"/>
      <c r="O45" s="154">
        <f>SUM(O46:O53)</f>
        <v>0</v>
      </c>
      <c r="P45" s="154">
        <f>SUM(P46:P53)</f>
        <v>0</v>
      </c>
      <c r="Q45" s="155">
        <f>IF(O45=0,0,O45/$O$67)</f>
        <v>0</v>
      </c>
      <c r="R45" s="1087"/>
      <c r="S45" s="1007" t="s">
        <v>269</v>
      </c>
      <c r="T45" s="1007"/>
      <c r="U45" s="1007"/>
      <c r="V45" s="1007"/>
      <c r="W45" s="1007"/>
      <c r="X45" s="1007"/>
      <c r="Y45" s="1007"/>
      <c r="Z45" s="1007"/>
      <c r="AA45" s="1007"/>
      <c r="AB45" s="1007"/>
      <c r="AC45" s="1007"/>
      <c r="AD45" s="1007"/>
      <c r="AE45" s="1007"/>
      <c r="AF45" s="1007"/>
      <c r="AG45" s="1007"/>
      <c r="AH45" s="1007"/>
      <c r="AI45" s="1007"/>
      <c r="AJ45" s="1007"/>
      <c r="AK45" s="1007"/>
      <c r="AL45" s="1007"/>
      <c r="AM45" s="1007"/>
      <c r="AN45" s="1007"/>
      <c r="AO45" s="1007"/>
      <c r="AP45" s="1007"/>
      <c r="AQ45" s="1007"/>
      <c r="AR45" s="1007"/>
      <c r="AS45" s="1007"/>
      <c r="AT45" s="1007"/>
      <c r="AU45" s="1007"/>
      <c r="AV45" s="1007"/>
      <c r="AW45" s="1007"/>
      <c r="AX45" s="1007"/>
      <c r="AY45" s="1007"/>
      <c r="AZ45" s="1007"/>
      <c r="BA45" s="1007"/>
      <c r="BB45" s="1007"/>
      <c r="BC45" s="1007"/>
      <c r="BD45" s="1007"/>
    </row>
    <row r="46" spans="1:56" outlineLevel="1" x14ac:dyDescent="0.2">
      <c r="A46" s="345" t="str">
        <f>IF(Stammblatt!$L$4=1,S46,V46)</f>
        <v>Eigenanteil</v>
      </c>
      <c r="B46" s="345"/>
      <c r="C46" s="346"/>
      <c r="D46" s="183"/>
      <c r="E46" s="350"/>
      <c r="F46" s="332"/>
      <c r="G46" s="322"/>
      <c r="H46" s="315"/>
      <c r="I46" s="1018">
        <f>D46</f>
        <v>0</v>
      </c>
      <c r="J46" s="1007"/>
      <c r="K46" s="1018"/>
      <c r="L46" s="320"/>
      <c r="M46" s="1007"/>
      <c r="N46" s="1007"/>
      <c r="O46" s="183"/>
      <c r="P46" s="1095">
        <f t="shared" ref="P46:P53" si="2">O46-D46</f>
        <v>0</v>
      </c>
      <c r="Q46" s="320"/>
      <c r="R46" s="1087"/>
      <c r="S46" s="1007" t="s">
        <v>217</v>
      </c>
      <c r="T46" s="1007"/>
      <c r="U46" s="1007"/>
      <c r="V46" s="1007" t="s">
        <v>533</v>
      </c>
      <c r="W46" s="1007"/>
      <c r="X46" s="1007"/>
      <c r="Y46" s="1007"/>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c r="AT46" s="1007"/>
      <c r="AU46" s="1007"/>
      <c r="AV46" s="1007"/>
      <c r="AW46" s="1007"/>
      <c r="AX46" s="1007"/>
      <c r="AY46" s="1007"/>
      <c r="AZ46" s="1007"/>
      <c r="BA46" s="1007"/>
      <c r="BB46" s="1007"/>
      <c r="BC46" s="1007"/>
      <c r="BD46" s="1007"/>
    </row>
    <row r="47" spans="1:56" outlineLevel="1" x14ac:dyDescent="0.2">
      <c r="A47" s="347" t="str">
        <f>IF(Stammblatt!$L$4=1,S47,V47)</f>
        <v>Lizenzen, Garantien etc.</v>
      </c>
      <c r="B47" s="345"/>
      <c r="C47" s="346"/>
      <c r="D47" s="183"/>
      <c r="E47" s="350"/>
      <c r="F47" s="332"/>
      <c r="G47" s="322"/>
      <c r="H47" s="315"/>
      <c r="I47" s="1018"/>
      <c r="J47" s="1007"/>
      <c r="K47" s="1018">
        <f>D47</f>
        <v>0</v>
      </c>
      <c r="L47" s="320"/>
      <c r="M47" s="1007"/>
      <c r="N47" s="1007"/>
      <c r="O47" s="183"/>
      <c r="P47" s="1095">
        <f t="shared" si="2"/>
        <v>0</v>
      </c>
      <c r="Q47" s="320"/>
      <c r="R47" s="1087"/>
      <c r="S47" s="1007" t="s">
        <v>273</v>
      </c>
      <c r="T47" s="1007"/>
      <c r="U47" s="1007"/>
      <c r="V47" s="1007" t="s">
        <v>535</v>
      </c>
      <c r="W47" s="1007"/>
      <c r="X47" s="1007"/>
      <c r="Y47" s="1007"/>
      <c r="Z47" s="1007"/>
      <c r="AA47" s="1007"/>
      <c r="AB47" s="1007"/>
      <c r="AC47" s="1007"/>
      <c r="AD47" s="1007"/>
      <c r="AE47" s="1007"/>
      <c r="AF47" s="1007"/>
      <c r="AG47" s="1007"/>
      <c r="AH47" s="1007"/>
      <c r="AI47" s="1007"/>
      <c r="AJ47" s="1007"/>
      <c r="AK47" s="1007"/>
      <c r="AL47" s="1007"/>
      <c r="AM47" s="1007"/>
      <c r="AN47" s="1007"/>
      <c r="AO47" s="1007"/>
      <c r="AP47" s="1007"/>
      <c r="AQ47" s="1007"/>
      <c r="AR47" s="1007"/>
      <c r="AS47" s="1007"/>
      <c r="AT47" s="1007"/>
      <c r="AU47" s="1007"/>
      <c r="AV47" s="1007"/>
      <c r="AW47" s="1007"/>
      <c r="AX47" s="1007"/>
      <c r="AY47" s="1007"/>
      <c r="AZ47" s="1007"/>
      <c r="BA47" s="1007"/>
      <c r="BB47" s="1007"/>
      <c r="BC47" s="1007"/>
      <c r="BD47" s="1007"/>
    </row>
    <row r="48" spans="1:56" outlineLevel="1" x14ac:dyDescent="0.2">
      <c r="A48" s="345" t="str">
        <f>IF(Stammblatt!$L$4=1,S48,V48)</f>
        <v>Förderung 1</v>
      </c>
      <c r="B48" s="345"/>
      <c r="C48" s="346"/>
      <c r="D48" s="183"/>
      <c r="E48" s="350"/>
      <c r="F48" s="332"/>
      <c r="G48" s="322"/>
      <c r="H48" s="315"/>
      <c r="I48" s="1018">
        <f>D48</f>
        <v>0</v>
      </c>
      <c r="J48" s="1007"/>
      <c r="K48" s="1018"/>
      <c r="L48" s="320"/>
      <c r="M48" s="1007"/>
      <c r="N48" s="1007"/>
      <c r="O48" s="183"/>
      <c r="P48" s="1095">
        <f t="shared" si="2"/>
        <v>0</v>
      </c>
      <c r="Q48" s="1093"/>
      <c r="R48" s="1087"/>
      <c r="S48" s="1007" t="s">
        <v>218</v>
      </c>
      <c r="T48" s="1007"/>
      <c r="U48" s="1007"/>
      <c r="V48" s="1007" t="s">
        <v>541</v>
      </c>
      <c r="W48" s="1007"/>
      <c r="X48" s="1007"/>
      <c r="Y48" s="1007"/>
      <c r="Z48" s="1007"/>
      <c r="AA48" s="1007"/>
      <c r="AB48" s="1007"/>
      <c r="AC48" s="1007"/>
      <c r="AD48" s="1007"/>
      <c r="AE48" s="1007"/>
      <c r="AF48" s="1007"/>
      <c r="AG48" s="1007"/>
      <c r="AH48" s="1007"/>
      <c r="AI48" s="1007"/>
      <c r="AJ48" s="1007"/>
      <c r="AK48" s="1007"/>
      <c r="AL48" s="1007"/>
      <c r="AM48" s="1007"/>
      <c r="AN48" s="1007"/>
      <c r="AO48" s="1007"/>
      <c r="AP48" s="1007"/>
      <c r="AQ48" s="1007"/>
      <c r="AR48" s="1007"/>
      <c r="AS48" s="1007"/>
      <c r="AT48" s="1007"/>
      <c r="AU48" s="1007"/>
      <c r="AV48" s="1007"/>
      <c r="AW48" s="1007"/>
      <c r="AX48" s="1007"/>
      <c r="AY48" s="1007"/>
      <c r="AZ48" s="1007"/>
      <c r="BA48" s="1007"/>
      <c r="BB48" s="1007"/>
      <c r="BC48" s="1007"/>
      <c r="BD48" s="1007"/>
    </row>
    <row r="49" spans="1:56" outlineLevel="1" x14ac:dyDescent="0.2">
      <c r="A49" s="345" t="str">
        <f>IF(Stammblatt!$L$4=1,S49,V49)</f>
        <v>Förderung 2</v>
      </c>
      <c r="B49" s="345"/>
      <c r="C49" s="346"/>
      <c r="D49" s="183"/>
      <c r="E49" s="350"/>
      <c r="F49" s="332"/>
      <c r="G49" s="323"/>
      <c r="H49" s="315"/>
      <c r="I49" s="1018">
        <f>D49</f>
        <v>0</v>
      </c>
      <c r="J49" s="1007"/>
      <c r="K49" s="1018"/>
      <c r="L49" s="320"/>
      <c r="M49" s="1007"/>
      <c r="N49" s="1007"/>
      <c r="O49" s="183"/>
      <c r="P49" s="1095">
        <f t="shared" si="2"/>
        <v>0</v>
      </c>
      <c r="Q49" s="320"/>
      <c r="R49" s="1087"/>
      <c r="S49" s="1007" t="s">
        <v>219</v>
      </c>
      <c r="T49" s="1007"/>
      <c r="U49" s="1007"/>
      <c r="V49" s="1007" t="s">
        <v>542</v>
      </c>
      <c r="W49" s="1007"/>
      <c r="X49" s="1007"/>
      <c r="Y49" s="1007"/>
      <c r="Z49" s="1007"/>
      <c r="AA49" s="1007"/>
      <c r="AB49" s="1007"/>
      <c r="AC49" s="1007"/>
      <c r="AD49" s="1007"/>
      <c r="AE49" s="1007"/>
      <c r="AF49" s="1007"/>
      <c r="AG49" s="1007"/>
      <c r="AH49" s="1007"/>
      <c r="AI49" s="1007"/>
      <c r="AJ49" s="1007"/>
      <c r="AK49" s="1007"/>
      <c r="AL49" s="1007"/>
      <c r="AM49" s="1007"/>
      <c r="AN49" s="1007"/>
      <c r="AO49" s="1007"/>
      <c r="AP49" s="1007"/>
      <c r="AQ49" s="1007"/>
      <c r="AR49" s="1007"/>
      <c r="AS49" s="1007"/>
      <c r="AT49" s="1007"/>
      <c r="AU49" s="1007"/>
      <c r="AV49" s="1007"/>
      <c r="AW49" s="1007"/>
      <c r="AX49" s="1007"/>
      <c r="AY49" s="1007"/>
      <c r="AZ49" s="1007"/>
      <c r="BA49" s="1007"/>
      <c r="BB49" s="1007"/>
      <c r="BC49" s="1007"/>
      <c r="BD49" s="1007"/>
    </row>
    <row r="50" spans="1:56" outlineLevel="1" x14ac:dyDescent="0.2">
      <c r="A50" s="345" t="str">
        <f>IF(Stammblatt!$L$4=1,S50,V50)</f>
        <v>Förderung 3</v>
      </c>
      <c r="B50" s="345"/>
      <c r="C50" s="346"/>
      <c r="D50" s="183"/>
      <c r="E50" s="350"/>
      <c r="F50" s="332"/>
      <c r="G50" s="323"/>
      <c r="H50" s="315"/>
      <c r="I50" s="1018">
        <f>D50</f>
        <v>0</v>
      </c>
      <c r="J50" s="1007"/>
      <c r="K50" s="1018"/>
      <c r="L50" s="320"/>
      <c r="M50" s="1007"/>
      <c r="N50" s="1007"/>
      <c r="O50" s="183"/>
      <c r="P50" s="1095">
        <f t="shared" si="2"/>
        <v>0</v>
      </c>
      <c r="Q50" s="320"/>
      <c r="R50" s="1087"/>
      <c r="S50" s="1007" t="s">
        <v>263</v>
      </c>
      <c r="T50" s="1007"/>
      <c r="U50" s="1007"/>
      <c r="V50" s="1007" t="s">
        <v>543</v>
      </c>
      <c r="W50" s="1007"/>
      <c r="X50" s="1007"/>
      <c r="Y50" s="1007"/>
      <c r="Z50" s="1007"/>
      <c r="AA50" s="1007"/>
      <c r="AB50" s="1007"/>
      <c r="AC50" s="1007"/>
      <c r="AD50" s="1007"/>
      <c r="AE50" s="1007"/>
      <c r="AF50" s="1007"/>
      <c r="AG50" s="1007"/>
      <c r="AH50" s="1007"/>
      <c r="AI50" s="1007"/>
      <c r="AJ50" s="1007"/>
      <c r="AK50" s="1007"/>
      <c r="AL50" s="1007"/>
      <c r="AM50" s="1007"/>
      <c r="AN50" s="1007"/>
      <c r="AO50" s="1007"/>
      <c r="AP50" s="1007"/>
      <c r="AQ50" s="1007"/>
      <c r="AR50" s="1007"/>
      <c r="AS50" s="1007"/>
      <c r="AT50" s="1007"/>
      <c r="AU50" s="1007"/>
      <c r="AV50" s="1007"/>
      <c r="AW50" s="1007"/>
      <c r="AX50" s="1007"/>
      <c r="AY50" s="1007"/>
      <c r="AZ50" s="1007"/>
      <c r="BA50" s="1007"/>
      <c r="BB50" s="1007"/>
      <c r="BC50" s="1007"/>
      <c r="BD50" s="1007"/>
    </row>
    <row r="51" spans="1:56" outlineLevel="1" x14ac:dyDescent="0.2">
      <c r="A51" s="345" t="str">
        <f>IF(Stammblatt!$L$4=1,S51,V51)</f>
        <v>Sonstige</v>
      </c>
      <c r="B51" s="345"/>
      <c r="C51" s="346"/>
      <c r="D51" s="183"/>
      <c r="E51" s="350"/>
      <c r="F51" s="332"/>
      <c r="G51" s="323"/>
      <c r="H51" s="315"/>
      <c r="I51" s="1018">
        <f>D51-K51</f>
        <v>0</v>
      </c>
      <c r="J51" s="1007"/>
      <c r="K51" s="1056">
        <f>D51</f>
        <v>0</v>
      </c>
      <c r="L51" s="320"/>
      <c r="M51" s="1007"/>
      <c r="N51" s="1007"/>
      <c r="O51" s="183"/>
      <c r="P51" s="1095">
        <f t="shared" si="2"/>
        <v>0</v>
      </c>
      <c r="Q51" s="1093"/>
      <c r="R51" s="1087"/>
      <c r="S51" s="1007" t="s">
        <v>200</v>
      </c>
      <c r="T51" s="1007"/>
      <c r="U51" s="1007"/>
      <c r="V51" s="1007" t="s">
        <v>371</v>
      </c>
      <c r="W51" s="1007"/>
      <c r="X51" s="1007"/>
      <c r="Y51" s="1007"/>
      <c r="Z51" s="1007"/>
      <c r="AA51" s="1007"/>
      <c r="AB51" s="1007"/>
      <c r="AC51" s="1007"/>
      <c r="AD51" s="1007"/>
      <c r="AE51" s="1007"/>
      <c r="AF51" s="1007"/>
      <c r="AG51" s="1007"/>
      <c r="AH51" s="1007"/>
      <c r="AI51" s="1007"/>
      <c r="AJ51" s="1007"/>
      <c r="AK51" s="1007"/>
      <c r="AL51" s="1007"/>
      <c r="AM51" s="1007"/>
      <c r="AN51" s="1007"/>
      <c r="AO51" s="1007"/>
      <c r="AP51" s="1007"/>
      <c r="AQ51" s="1007"/>
      <c r="AR51" s="1007"/>
      <c r="AS51" s="1007"/>
      <c r="AT51" s="1007"/>
      <c r="AU51" s="1007"/>
      <c r="AV51" s="1007"/>
      <c r="AW51" s="1007"/>
      <c r="AX51" s="1007"/>
      <c r="AY51" s="1007"/>
      <c r="AZ51" s="1007"/>
      <c r="BA51" s="1007"/>
      <c r="BB51" s="1007"/>
      <c r="BC51" s="1007"/>
      <c r="BD51" s="1007"/>
    </row>
    <row r="52" spans="1:56" outlineLevel="1" x14ac:dyDescent="0.15">
      <c r="A52" s="345" t="s">
        <v>216</v>
      </c>
      <c r="B52" s="345"/>
      <c r="C52" s="346"/>
      <c r="D52" s="183"/>
      <c r="E52" s="351">
        <f>IF($D$52=0,0,D52/$D$54)</f>
        <v>0</v>
      </c>
      <c r="F52" s="332"/>
      <c r="G52" s="323"/>
      <c r="H52" s="315"/>
      <c r="I52" s="1018">
        <f>D52</f>
        <v>0</v>
      </c>
      <c r="J52" s="1007"/>
      <c r="K52" s="1018"/>
      <c r="L52" s="320"/>
      <c r="M52" s="1007"/>
      <c r="N52" s="1007"/>
      <c r="O52" s="183"/>
      <c r="P52" s="1095">
        <f t="shared" si="2"/>
        <v>0</v>
      </c>
      <c r="Q52" s="320"/>
      <c r="R52" s="1087"/>
      <c r="S52" s="1007" t="s">
        <v>216</v>
      </c>
      <c r="T52" s="1007"/>
      <c r="U52" s="1007"/>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c r="AU52" s="1007"/>
      <c r="AV52" s="1007"/>
      <c r="AW52" s="1007"/>
      <c r="AX52" s="1007"/>
      <c r="AY52" s="1007"/>
      <c r="AZ52" s="1007"/>
      <c r="BA52" s="1007"/>
      <c r="BB52" s="1007"/>
      <c r="BC52" s="1007"/>
      <c r="BD52" s="1007"/>
    </row>
    <row r="53" spans="1:56" outlineLevel="1" x14ac:dyDescent="0.2">
      <c r="A53" s="345" t="str">
        <f>IF(Stammblatt!$L$4=1,S53,V53)</f>
        <v>TV-Anstalt</v>
      </c>
      <c r="B53" s="345"/>
      <c r="C53" s="346"/>
      <c r="D53" s="183"/>
      <c r="E53" s="350"/>
      <c r="F53" s="332"/>
      <c r="G53" s="333"/>
      <c r="H53" s="315"/>
      <c r="I53" s="1018">
        <f>D53-K53</f>
        <v>0</v>
      </c>
      <c r="J53" s="1020"/>
      <c r="K53" s="1056"/>
      <c r="L53" s="320"/>
      <c r="M53" s="1007"/>
      <c r="N53" s="1007"/>
      <c r="O53" s="183"/>
      <c r="P53" s="1095">
        <f t="shared" si="2"/>
        <v>0</v>
      </c>
      <c r="Q53" s="320"/>
      <c r="R53" s="1087"/>
      <c r="S53" s="1007" t="s">
        <v>262</v>
      </c>
      <c r="T53" s="1007"/>
      <c r="U53" s="1007"/>
      <c r="V53" s="1007" t="s">
        <v>544</v>
      </c>
      <c r="W53" s="1007"/>
      <c r="X53" s="1007"/>
      <c r="Y53" s="1007"/>
      <c r="Z53" s="1007"/>
      <c r="AA53" s="1007"/>
      <c r="AB53" s="1007"/>
      <c r="AC53" s="1007"/>
      <c r="AD53" s="1007"/>
      <c r="AE53" s="1007"/>
      <c r="AF53" s="1007"/>
      <c r="AG53" s="1007"/>
      <c r="AH53" s="1007"/>
      <c r="AI53" s="1007"/>
      <c r="AJ53" s="1007"/>
      <c r="AK53" s="1007"/>
      <c r="AL53" s="1007"/>
      <c r="AM53" s="1007"/>
      <c r="AN53" s="1007"/>
      <c r="AO53" s="1007"/>
      <c r="AP53" s="1007"/>
      <c r="AQ53" s="1007"/>
      <c r="AR53" s="1007"/>
      <c r="AS53" s="1007"/>
      <c r="AT53" s="1007"/>
      <c r="AU53" s="1007"/>
      <c r="AV53" s="1007"/>
      <c r="AW53" s="1007"/>
      <c r="AX53" s="1007"/>
      <c r="AY53" s="1007"/>
      <c r="AZ53" s="1007"/>
      <c r="BA53" s="1007"/>
      <c r="BB53" s="1007"/>
      <c r="BC53" s="1007"/>
      <c r="BD53" s="1007"/>
    </row>
    <row r="54" spans="1:56" ht="12.75" customHeight="1" outlineLevel="1" x14ac:dyDescent="0.2">
      <c r="A54" s="310"/>
      <c r="B54" s="310"/>
      <c r="C54" s="385" t="s">
        <v>254</v>
      </c>
      <c r="D54" s="385">
        <f>SUM(D46:D53)</f>
        <v>0</v>
      </c>
      <c r="E54" s="387"/>
      <c r="F54" s="331"/>
      <c r="G54" s="326"/>
      <c r="H54" s="315"/>
      <c r="I54" s="1007"/>
      <c r="J54" s="1007"/>
      <c r="K54" s="1007"/>
      <c r="L54" s="320"/>
      <c r="M54" s="1007"/>
      <c r="N54" s="1007"/>
      <c r="O54" s="1007"/>
      <c r="P54" s="1007"/>
      <c r="Q54" s="1007"/>
      <c r="R54" s="1087"/>
      <c r="S54" s="1007"/>
      <c r="T54" s="1007"/>
      <c r="U54" s="1007"/>
      <c r="V54" s="1007"/>
      <c r="W54" s="1007"/>
      <c r="X54" s="1007"/>
      <c r="Y54" s="1007"/>
      <c r="Z54" s="1007"/>
      <c r="AA54" s="1007"/>
      <c r="AB54" s="1007"/>
      <c r="AC54" s="1007"/>
      <c r="AD54" s="1007"/>
      <c r="AE54" s="1007"/>
      <c r="AF54" s="1007"/>
      <c r="AG54" s="1007"/>
      <c r="AH54" s="1007"/>
      <c r="AI54" s="1007"/>
      <c r="AJ54" s="1007"/>
      <c r="AK54" s="1007"/>
      <c r="AL54" s="1007"/>
      <c r="AM54" s="1007"/>
      <c r="AN54" s="1007"/>
      <c r="AO54" s="1007"/>
      <c r="AP54" s="1007"/>
      <c r="AQ54" s="1007"/>
      <c r="AR54" s="1007"/>
      <c r="AS54" s="1007"/>
      <c r="AT54" s="1007"/>
      <c r="AU54" s="1007"/>
      <c r="AV54" s="1007"/>
      <c r="AW54" s="1007"/>
      <c r="AX54" s="1007"/>
      <c r="AY54" s="1007"/>
      <c r="AZ54" s="1007"/>
      <c r="BA54" s="1007"/>
      <c r="BB54" s="1007"/>
      <c r="BC54" s="1007"/>
      <c r="BD54" s="1007"/>
    </row>
    <row r="55" spans="1:56" x14ac:dyDescent="0.2">
      <c r="A55" s="310"/>
      <c r="B55" s="310"/>
      <c r="C55" s="310"/>
      <c r="D55" s="310"/>
      <c r="E55" s="310"/>
      <c r="F55" s="331"/>
      <c r="G55" s="326"/>
      <c r="H55" s="315"/>
      <c r="I55" s="1007"/>
      <c r="J55" s="1007"/>
      <c r="K55" s="1007"/>
      <c r="L55" s="320"/>
      <c r="M55" s="1007"/>
      <c r="N55" s="1007"/>
      <c r="O55" s="1007"/>
      <c r="P55" s="1007"/>
      <c r="Q55" s="1007"/>
      <c r="R55" s="1087"/>
      <c r="S55" s="1007"/>
      <c r="T55" s="1007"/>
      <c r="U55" s="1007"/>
      <c r="V55" s="1007"/>
      <c r="W55" s="1007"/>
      <c r="X55" s="1007"/>
      <c r="Y55" s="1007"/>
      <c r="Z55" s="1007"/>
      <c r="AA55" s="1007"/>
      <c r="AB55" s="1007"/>
      <c r="AC55" s="1007"/>
      <c r="AD55" s="1007"/>
      <c r="AE55" s="1007"/>
      <c r="AF55" s="1007"/>
      <c r="AG55" s="1007"/>
      <c r="AH55" s="1007"/>
      <c r="AI55" s="1007"/>
      <c r="AJ55" s="1007"/>
      <c r="AK55" s="1007"/>
      <c r="AL55" s="1007"/>
      <c r="AM55" s="1007"/>
      <c r="AN55" s="1007"/>
      <c r="AO55" s="1007"/>
      <c r="AP55" s="1007"/>
      <c r="AQ55" s="1007"/>
      <c r="AR55" s="1007"/>
      <c r="AS55" s="1007"/>
      <c r="AT55" s="1007"/>
      <c r="AU55" s="1007"/>
      <c r="AV55" s="1007"/>
      <c r="AW55" s="1007"/>
      <c r="AX55" s="1007"/>
      <c r="AY55" s="1007"/>
      <c r="AZ55" s="1007"/>
      <c r="BA55" s="1007"/>
      <c r="BB55" s="1007"/>
      <c r="BC55" s="1007"/>
      <c r="BD55" s="1007"/>
    </row>
    <row r="56" spans="1:56" ht="21" customHeight="1" outlineLevel="1" x14ac:dyDescent="0.2">
      <c r="A56" s="109" t="str">
        <f>IF(Stammblatt!L4=1,Finanzierungsplan!S4 &amp; Stammblatt!B36,Finanzierungsplan!V4 &amp; Stammblatt!B36)</f>
        <v>Finanzierung C</v>
      </c>
      <c r="B56" s="109"/>
      <c r="C56" s="74"/>
      <c r="D56" s="154">
        <f>FIN_C</f>
        <v>0</v>
      </c>
      <c r="E56" s="106">
        <f>IF(D56=0,0,D56/$D$67)</f>
        <v>0</v>
      </c>
      <c r="F56" s="331"/>
      <c r="G56" s="326"/>
      <c r="H56" s="315"/>
      <c r="I56" s="1017">
        <f>SUM(I57:I64)</f>
        <v>0</v>
      </c>
      <c r="J56" s="316">
        <f ca="1">IF($I$67=0,,I56/$I$67)</f>
        <v>0</v>
      </c>
      <c r="K56" s="1017">
        <f>SUM(K57:K64)</f>
        <v>0</v>
      </c>
      <c r="L56" s="1021">
        <f>IF($K$67=0,,K56/$K$67)</f>
        <v>0</v>
      </c>
      <c r="M56" s="1007"/>
      <c r="N56" s="1007"/>
      <c r="O56" s="154">
        <f>SUM(O57:O64)</f>
        <v>0</v>
      </c>
      <c r="P56" s="154">
        <f>SUM(P57:P64)</f>
        <v>0</v>
      </c>
      <c r="Q56" s="155">
        <f>IF(O56=0,0,O56/$O$67)</f>
        <v>0</v>
      </c>
      <c r="R56" s="1087"/>
      <c r="S56" s="1007" t="s">
        <v>270</v>
      </c>
      <c r="T56" s="1007"/>
      <c r="U56" s="1007"/>
      <c r="V56" s="1007"/>
      <c r="W56" s="1007"/>
      <c r="X56" s="1007"/>
      <c r="Y56" s="1007"/>
      <c r="Z56" s="1007"/>
      <c r="AA56" s="1007"/>
      <c r="AB56" s="1007"/>
      <c r="AC56" s="1007"/>
      <c r="AD56" s="1007"/>
      <c r="AE56" s="1007"/>
      <c r="AF56" s="1007"/>
      <c r="AG56" s="1007"/>
      <c r="AH56" s="1007"/>
      <c r="AI56" s="1007"/>
      <c r="AJ56" s="1007"/>
      <c r="AK56" s="1007"/>
      <c r="AL56" s="1007"/>
      <c r="AM56" s="1007"/>
      <c r="AN56" s="1007"/>
      <c r="AO56" s="1007"/>
      <c r="AP56" s="1007"/>
      <c r="AQ56" s="1007"/>
      <c r="AR56" s="1007"/>
      <c r="AS56" s="1007"/>
      <c r="AT56" s="1007"/>
      <c r="AU56" s="1007"/>
      <c r="AV56" s="1007"/>
      <c r="AW56" s="1007"/>
      <c r="AX56" s="1007"/>
      <c r="AY56" s="1007"/>
      <c r="AZ56" s="1007"/>
      <c r="BA56" s="1007"/>
      <c r="BB56" s="1007"/>
      <c r="BC56" s="1007"/>
      <c r="BD56" s="1007"/>
    </row>
    <row r="57" spans="1:56" outlineLevel="1" x14ac:dyDescent="0.2">
      <c r="A57" s="345" t="str">
        <f>IF(Stammblatt!$L$4=1,S57,V57)</f>
        <v>Eigenanteil</v>
      </c>
      <c r="B57" s="345"/>
      <c r="C57" s="346"/>
      <c r="D57" s="183"/>
      <c r="E57" s="350"/>
      <c r="F57" s="332"/>
      <c r="G57" s="322"/>
      <c r="H57" s="315"/>
      <c r="I57" s="1018">
        <f>D57</f>
        <v>0</v>
      </c>
      <c r="J57" s="1007"/>
      <c r="K57" s="1018"/>
      <c r="L57" s="320"/>
      <c r="M57" s="1007"/>
      <c r="N57" s="1007"/>
      <c r="O57" s="183"/>
      <c r="P57" s="1095">
        <f t="shared" ref="P57:P64" si="3">O57-D57</f>
        <v>0</v>
      </c>
      <c r="Q57" s="320"/>
      <c r="R57" s="1087"/>
      <c r="S57" s="1007" t="s">
        <v>217</v>
      </c>
      <c r="T57" s="1007"/>
      <c r="U57" s="1007"/>
      <c r="V57" s="1007" t="s">
        <v>533</v>
      </c>
      <c r="W57" s="1007"/>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row>
    <row r="58" spans="1:56" outlineLevel="1" x14ac:dyDescent="0.2">
      <c r="A58" s="347" t="str">
        <f>IF(Stammblatt!$L$4=1,S58,V58)</f>
        <v>Lizenzen, Garantien etc.</v>
      </c>
      <c r="B58" s="345"/>
      <c r="C58" s="346"/>
      <c r="D58" s="183"/>
      <c r="E58" s="350"/>
      <c r="F58" s="332"/>
      <c r="G58" s="322"/>
      <c r="H58" s="315"/>
      <c r="I58" s="1018"/>
      <c r="J58" s="1007"/>
      <c r="K58" s="1018">
        <f>D58</f>
        <v>0</v>
      </c>
      <c r="L58" s="320"/>
      <c r="M58" s="1007"/>
      <c r="N58" s="1007"/>
      <c r="O58" s="183"/>
      <c r="P58" s="1095">
        <f t="shared" si="3"/>
        <v>0</v>
      </c>
      <c r="Q58" s="320"/>
      <c r="R58" s="1087"/>
      <c r="S58" s="1007" t="s">
        <v>273</v>
      </c>
      <c r="T58" s="1007"/>
      <c r="U58" s="1007"/>
      <c r="V58" s="1007" t="s">
        <v>535</v>
      </c>
      <c r="W58" s="1007"/>
      <c r="X58" s="1007"/>
      <c r="Y58" s="1007"/>
      <c r="Z58" s="1007"/>
      <c r="AA58" s="1007"/>
      <c r="AB58" s="1007"/>
      <c r="AC58" s="1007"/>
      <c r="AD58" s="1007"/>
      <c r="AE58" s="1007"/>
      <c r="AF58" s="1007"/>
      <c r="AG58" s="1007"/>
      <c r="AH58" s="1007"/>
      <c r="AI58" s="1007"/>
      <c r="AJ58" s="1007"/>
      <c r="AK58" s="1007"/>
      <c r="AL58" s="1007"/>
      <c r="AM58" s="1007"/>
      <c r="AN58" s="1007"/>
      <c r="AO58" s="1007"/>
      <c r="AP58" s="1007"/>
      <c r="AQ58" s="1007"/>
      <c r="AR58" s="1007"/>
      <c r="AS58" s="1007"/>
      <c r="AT58" s="1007"/>
      <c r="AU58" s="1007"/>
      <c r="AV58" s="1007"/>
      <c r="AW58" s="1007"/>
      <c r="AX58" s="1007"/>
      <c r="AY58" s="1007"/>
      <c r="AZ58" s="1007"/>
      <c r="BA58" s="1007"/>
      <c r="BB58" s="1007"/>
      <c r="BC58" s="1007"/>
      <c r="BD58" s="1007"/>
    </row>
    <row r="59" spans="1:56" outlineLevel="1" x14ac:dyDescent="0.2">
      <c r="A59" s="345" t="str">
        <f>IF(Stammblatt!$L$4=1,S59,V59)</f>
        <v>Förderung 1</v>
      </c>
      <c r="B59" s="345"/>
      <c r="C59" s="346"/>
      <c r="D59" s="183"/>
      <c r="E59" s="350"/>
      <c r="F59" s="332"/>
      <c r="G59" s="322"/>
      <c r="H59" s="315"/>
      <c r="I59" s="1018">
        <f>D59</f>
        <v>0</v>
      </c>
      <c r="J59" s="1007"/>
      <c r="K59" s="1018"/>
      <c r="L59" s="320"/>
      <c r="M59" s="1007"/>
      <c r="N59" s="1007"/>
      <c r="O59" s="183"/>
      <c r="P59" s="1095">
        <f t="shared" si="3"/>
        <v>0</v>
      </c>
      <c r="Q59" s="1093"/>
      <c r="R59" s="1087"/>
      <c r="S59" s="1007" t="s">
        <v>218</v>
      </c>
      <c r="T59" s="1007"/>
      <c r="U59" s="1007"/>
      <c r="V59" s="1007" t="s">
        <v>541</v>
      </c>
      <c r="W59" s="1007"/>
      <c r="X59" s="1007"/>
      <c r="Y59" s="1007"/>
      <c r="Z59" s="1007"/>
      <c r="AA59" s="1007"/>
      <c r="AB59" s="1007"/>
      <c r="AC59" s="1007"/>
      <c r="AD59" s="1007"/>
      <c r="AE59" s="1007"/>
      <c r="AF59" s="1007"/>
      <c r="AG59" s="1007"/>
      <c r="AH59" s="1007"/>
      <c r="AI59" s="1007"/>
      <c r="AJ59" s="1007"/>
      <c r="AK59" s="1007"/>
      <c r="AL59" s="1007"/>
      <c r="AM59" s="1007"/>
      <c r="AN59" s="1007"/>
      <c r="AO59" s="1007"/>
      <c r="AP59" s="1007"/>
      <c r="AQ59" s="1007"/>
      <c r="AR59" s="1007"/>
      <c r="AS59" s="1007"/>
      <c r="AT59" s="1007"/>
      <c r="AU59" s="1007"/>
      <c r="AV59" s="1007"/>
      <c r="AW59" s="1007"/>
      <c r="AX59" s="1007"/>
      <c r="AY59" s="1007"/>
      <c r="AZ59" s="1007"/>
      <c r="BA59" s="1007"/>
      <c r="BB59" s="1007"/>
      <c r="BC59" s="1007"/>
      <c r="BD59" s="1007"/>
    </row>
    <row r="60" spans="1:56" outlineLevel="1" x14ac:dyDescent="0.2">
      <c r="A60" s="345" t="str">
        <f>IF(Stammblatt!$L$4=1,S60,V60)</f>
        <v>Förderung 2</v>
      </c>
      <c r="B60" s="345"/>
      <c r="C60" s="346"/>
      <c r="D60" s="183"/>
      <c r="E60" s="350"/>
      <c r="F60" s="332"/>
      <c r="G60" s="323"/>
      <c r="H60" s="315"/>
      <c r="I60" s="1018">
        <f>D60</f>
        <v>0</v>
      </c>
      <c r="J60" s="1007"/>
      <c r="K60" s="1018"/>
      <c r="L60" s="320"/>
      <c r="M60" s="1007"/>
      <c r="N60" s="1007"/>
      <c r="O60" s="183"/>
      <c r="P60" s="1095">
        <f t="shared" si="3"/>
        <v>0</v>
      </c>
      <c r="Q60" s="320"/>
      <c r="R60" s="1087"/>
      <c r="S60" s="1007" t="s">
        <v>219</v>
      </c>
      <c r="T60" s="1007"/>
      <c r="U60" s="1007"/>
      <c r="V60" s="1007" t="s">
        <v>542</v>
      </c>
      <c r="W60" s="1007"/>
      <c r="X60" s="1007"/>
      <c r="Y60" s="1007"/>
      <c r="Z60" s="1007"/>
      <c r="AA60" s="1007"/>
      <c r="AB60" s="1007"/>
      <c r="AC60" s="1007"/>
      <c r="AD60" s="1007"/>
      <c r="AE60" s="1007"/>
      <c r="AF60" s="1007"/>
      <c r="AG60" s="1007"/>
      <c r="AH60" s="1007"/>
      <c r="AI60" s="1007"/>
      <c r="AJ60" s="1007"/>
      <c r="AK60" s="1007"/>
      <c r="AL60" s="1007"/>
      <c r="AM60" s="1007"/>
      <c r="AN60" s="1007"/>
      <c r="AO60" s="1007"/>
      <c r="AP60" s="1007"/>
      <c r="AQ60" s="1007"/>
      <c r="AR60" s="1007"/>
      <c r="AS60" s="1007"/>
      <c r="AT60" s="1007"/>
      <c r="AU60" s="1007"/>
      <c r="AV60" s="1007"/>
      <c r="AW60" s="1007"/>
      <c r="AX60" s="1007"/>
      <c r="AY60" s="1007"/>
      <c r="AZ60" s="1007"/>
      <c r="BA60" s="1007"/>
      <c r="BB60" s="1007"/>
      <c r="BC60" s="1007"/>
      <c r="BD60" s="1007"/>
    </row>
    <row r="61" spans="1:56" outlineLevel="1" x14ac:dyDescent="0.2">
      <c r="A61" s="345" t="str">
        <f>IF(Stammblatt!$L$4=1,S61,V61)</f>
        <v>Förderung 3</v>
      </c>
      <c r="B61" s="345"/>
      <c r="C61" s="346"/>
      <c r="D61" s="183"/>
      <c r="E61" s="350"/>
      <c r="F61" s="332"/>
      <c r="G61" s="323"/>
      <c r="H61" s="315"/>
      <c r="I61" s="1018">
        <f>D61</f>
        <v>0</v>
      </c>
      <c r="J61" s="1007"/>
      <c r="K61" s="1018"/>
      <c r="L61" s="320"/>
      <c r="M61" s="1007"/>
      <c r="N61" s="1007"/>
      <c r="O61" s="183"/>
      <c r="P61" s="1095">
        <f t="shared" si="3"/>
        <v>0</v>
      </c>
      <c r="Q61" s="320"/>
      <c r="R61" s="1087"/>
      <c r="S61" s="1007" t="s">
        <v>263</v>
      </c>
      <c r="T61" s="1007"/>
      <c r="U61" s="1007"/>
      <c r="V61" s="1007" t="s">
        <v>543</v>
      </c>
      <c r="W61" s="1007"/>
      <c r="X61" s="1007"/>
      <c r="Y61" s="1007"/>
      <c r="Z61" s="1007"/>
      <c r="AA61" s="1007"/>
      <c r="AB61" s="1007"/>
      <c r="AC61" s="1007"/>
      <c r="AD61" s="1007"/>
      <c r="AE61" s="1007"/>
      <c r="AF61" s="1007"/>
      <c r="AG61" s="1007"/>
      <c r="AH61" s="1007"/>
      <c r="AI61" s="1007"/>
      <c r="AJ61" s="1007"/>
      <c r="AK61" s="1007"/>
      <c r="AL61" s="1007"/>
      <c r="AM61" s="1007"/>
      <c r="AN61" s="1007"/>
      <c r="AO61" s="1007"/>
      <c r="AP61" s="1007"/>
      <c r="AQ61" s="1007"/>
      <c r="AR61" s="1007"/>
      <c r="AS61" s="1007"/>
      <c r="AT61" s="1007"/>
      <c r="AU61" s="1007"/>
      <c r="AV61" s="1007"/>
      <c r="AW61" s="1007"/>
      <c r="AX61" s="1007"/>
      <c r="AY61" s="1007"/>
      <c r="AZ61" s="1007"/>
      <c r="BA61" s="1007"/>
      <c r="BB61" s="1007"/>
      <c r="BC61" s="1007"/>
      <c r="BD61" s="1007"/>
    </row>
    <row r="62" spans="1:56" outlineLevel="1" x14ac:dyDescent="0.2">
      <c r="A62" s="345" t="str">
        <f>IF(Stammblatt!$L$4=1,S62,V62)</f>
        <v>Sonstige</v>
      </c>
      <c r="B62" s="345"/>
      <c r="C62" s="346"/>
      <c r="D62" s="183"/>
      <c r="E62" s="350"/>
      <c r="F62" s="332"/>
      <c r="G62" s="323"/>
      <c r="H62" s="315"/>
      <c r="I62" s="1018">
        <f>D62-K62</f>
        <v>0</v>
      </c>
      <c r="J62" s="1007"/>
      <c r="K62" s="1056">
        <f>D62</f>
        <v>0</v>
      </c>
      <c r="L62" s="320"/>
      <c r="M62" s="1007"/>
      <c r="N62" s="1007"/>
      <c r="O62" s="183"/>
      <c r="P62" s="1095">
        <f t="shared" si="3"/>
        <v>0</v>
      </c>
      <c r="Q62" s="1093"/>
      <c r="R62" s="1087"/>
      <c r="S62" s="1007" t="s">
        <v>200</v>
      </c>
      <c r="T62" s="1007"/>
      <c r="U62" s="1007"/>
      <c r="V62" s="1007" t="s">
        <v>371</v>
      </c>
      <c r="W62" s="1007"/>
      <c r="X62" s="1007"/>
      <c r="Y62" s="1007"/>
      <c r="Z62" s="1007"/>
      <c r="AA62" s="1007"/>
      <c r="AB62" s="1007"/>
      <c r="AC62" s="1007"/>
      <c r="AD62" s="1007"/>
      <c r="AE62" s="1007"/>
      <c r="AF62" s="1007"/>
      <c r="AG62" s="1007"/>
      <c r="AH62" s="1007"/>
      <c r="AI62" s="1007"/>
      <c r="AJ62" s="1007"/>
      <c r="AK62" s="1007"/>
      <c r="AL62" s="1007"/>
      <c r="AM62" s="1007"/>
      <c r="AN62" s="1007"/>
      <c r="AO62" s="1007"/>
      <c r="AP62" s="1007"/>
      <c r="AQ62" s="1007"/>
      <c r="AR62" s="1007"/>
      <c r="AS62" s="1007"/>
      <c r="AT62" s="1007"/>
      <c r="AU62" s="1007"/>
      <c r="AV62" s="1007"/>
      <c r="AW62" s="1007"/>
      <c r="AX62" s="1007"/>
      <c r="AY62" s="1007"/>
      <c r="AZ62" s="1007"/>
      <c r="BA62" s="1007"/>
      <c r="BB62" s="1007"/>
      <c r="BC62" s="1007"/>
      <c r="BD62" s="1007"/>
    </row>
    <row r="63" spans="1:56" outlineLevel="1" x14ac:dyDescent="0.15">
      <c r="A63" s="345" t="s">
        <v>216</v>
      </c>
      <c r="B63" s="345"/>
      <c r="C63" s="346"/>
      <c r="D63" s="183"/>
      <c r="E63" s="351">
        <f>IF($D$63=0,0,D63/$D$66)</f>
        <v>0</v>
      </c>
      <c r="F63" s="332"/>
      <c r="G63" s="323"/>
      <c r="H63" s="315"/>
      <c r="I63" s="1018">
        <f>D63</f>
        <v>0</v>
      </c>
      <c r="J63" s="1007"/>
      <c r="K63" s="1018"/>
      <c r="L63" s="320"/>
      <c r="M63" s="1007"/>
      <c r="N63" s="1007"/>
      <c r="O63" s="183"/>
      <c r="P63" s="1095">
        <f t="shared" si="3"/>
        <v>0</v>
      </c>
      <c r="Q63" s="320"/>
      <c r="R63" s="1087"/>
      <c r="S63" s="1007" t="s">
        <v>216</v>
      </c>
      <c r="T63" s="1007"/>
      <c r="U63" s="1007"/>
      <c r="V63" s="1007"/>
      <c r="W63" s="1007"/>
      <c r="X63" s="1007"/>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7"/>
      <c r="AY63" s="1007"/>
      <c r="AZ63" s="1007"/>
      <c r="BA63" s="1007"/>
      <c r="BB63" s="1007"/>
      <c r="BC63" s="1007"/>
      <c r="BD63" s="1007"/>
    </row>
    <row r="64" spans="1:56" outlineLevel="1" x14ac:dyDescent="0.2">
      <c r="A64" s="345" t="str">
        <f>IF(Stammblatt!$L$4=1,S64,V64)</f>
        <v>TV-Anstalt</v>
      </c>
      <c r="B64" s="345"/>
      <c r="C64" s="346"/>
      <c r="D64" s="183"/>
      <c r="E64" s="350"/>
      <c r="F64" s="332"/>
      <c r="G64" s="333"/>
      <c r="H64" s="315"/>
      <c r="I64" s="1018">
        <f>D64-K64</f>
        <v>0</v>
      </c>
      <c r="J64" s="1020"/>
      <c r="K64" s="1056"/>
      <c r="L64" s="320"/>
      <c r="M64" s="1007"/>
      <c r="N64" s="1007"/>
      <c r="O64" s="183"/>
      <c r="P64" s="1095">
        <f t="shared" si="3"/>
        <v>0</v>
      </c>
      <c r="Q64" s="320"/>
      <c r="R64" s="1087"/>
      <c r="S64" s="1007" t="s">
        <v>262</v>
      </c>
      <c r="T64" s="1007"/>
      <c r="U64" s="1007"/>
      <c r="V64" s="1007" t="s">
        <v>544</v>
      </c>
      <c r="W64" s="1007"/>
      <c r="X64" s="1007"/>
      <c r="Y64" s="1007"/>
      <c r="Z64" s="1007"/>
      <c r="AA64" s="1007"/>
      <c r="AB64" s="1007"/>
      <c r="AC64" s="1007"/>
      <c r="AD64" s="1007"/>
      <c r="AE64" s="1007"/>
      <c r="AF64" s="1007"/>
      <c r="AG64" s="1007"/>
      <c r="AH64" s="1007"/>
      <c r="AI64" s="1007"/>
      <c r="AJ64" s="1007"/>
      <c r="AK64" s="1007"/>
      <c r="AL64" s="1007"/>
      <c r="AM64" s="1007"/>
      <c r="AN64" s="1007"/>
      <c r="AO64" s="1007"/>
      <c r="AP64" s="1007"/>
      <c r="AQ64" s="1007"/>
      <c r="AR64" s="1007"/>
      <c r="AS64" s="1007"/>
      <c r="AT64" s="1007"/>
      <c r="AU64" s="1007"/>
      <c r="AV64" s="1007"/>
      <c r="AW64" s="1007"/>
      <c r="AX64" s="1007"/>
      <c r="AY64" s="1007"/>
      <c r="AZ64" s="1007"/>
      <c r="BA64" s="1007"/>
      <c r="BB64" s="1007"/>
      <c r="BC64" s="1007"/>
      <c r="BD64" s="1007"/>
    </row>
    <row r="65" spans="1:56" outlineLevel="1" x14ac:dyDescent="0.2">
      <c r="A65" s="1040"/>
      <c r="B65" s="1040"/>
      <c r="C65" s="385" t="s">
        <v>254</v>
      </c>
      <c r="D65" s="385">
        <f>SUM(D57:D64)</f>
        <v>0</v>
      </c>
      <c r="E65" s="387"/>
      <c r="F65" s="331"/>
      <c r="G65" s="326"/>
      <c r="H65" s="315"/>
      <c r="I65" s="1007"/>
      <c r="J65" s="1007"/>
      <c r="K65" s="1007"/>
      <c r="L65" s="320"/>
      <c r="M65" s="1007"/>
      <c r="N65" s="1007"/>
      <c r="O65" s="1007"/>
      <c r="P65" s="1007"/>
      <c r="Q65" s="1007"/>
      <c r="R65" s="1087"/>
      <c r="S65" s="1007"/>
      <c r="T65" s="1007"/>
      <c r="U65" s="1007"/>
      <c r="V65" s="1007"/>
      <c r="W65" s="1007"/>
      <c r="X65" s="1007"/>
      <c r="Y65" s="1007"/>
      <c r="Z65" s="1007"/>
      <c r="AA65" s="1007"/>
      <c r="AB65" s="1007"/>
      <c r="AC65" s="1007"/>
      <c r="AD65" s="1007"/>
      <c r="AE65" s="1007"/>
      <c r="AF65" s="1007"/>
      <c r="AG65" s="1007"/>
      <c r="AH65" s="1007"/>
      <c r="AI65" s="1007"/>
      <c r="AJ65" s="1007"/>
      <c r="AK65" s="1007"/>
      <c r="AL65" s="1007"/>
      <c r="AM65" s="1007"/>
      <c r="AN65" s="1007"/>
      <c r="AO65" s="1007"/>
      <c r="AP65" s="1007"/>
      <c r="AQ65" s="1007"/>
      <c r="AR65" s="1007"/>
      <c r="AS65" s="1007"/>
      <c r="AT65" s="1007"/>
      <c r="AU65" s="1007"/>
      <c r="AV65" s="1007"/>
      <c r="AW65" s="1007"/>
      <c r="AX65" s="1007"/>
      <c r="AY65" s="1007"/>
      <c r="AZ65" s="1007"/>
      <c r="BA65" s="1007"/>
      <c r="BB65" s="1007"/>
      <c r="BC65" s="1007"/>
      <c r="BD65" s="1007"/>
    </row>
    <row r="66" spans="1:56" ht="13.5" outlineLevel="1" thickBot="1" x14ac:dyDescent="0.25">
      <c r="A66" s="310"/>
      <c r="B66" s="310"/>
      <c r="C66" s="348"/>
      <c r="D66" s="349"/>
      <c r="E66" s="352"/>
      <c r="F66" s="331"/>
      <c r="G66" s="326"/>
      <c r="H66" s="315"/>
      <c r="I66" s="1007"/>
      <c r="J66" s="1007"/>
      <c r="K66" s="1007"/>
      <c r="L66" s="320"/>
      <c r="M66" s="1007"/>
      <c r="N66" s="1007"/>
      <c r="O66" s="1007"/>
      <c r="P66" s="1007"/>
      <c r="Q66" s="1007"/>
      <c r="R66" s="1087"/>
      <c r="S66" s="1007"/>
      <c r="T66" s="1007"/>
      <c r="U66" s="1007"/>
      <c r="V66" s="1007"/>
      <c r="W66" s="1007"/>
      <c r="X66" s="1007"/>
      <c r="Y66" s="1007"/>
      <c r="Z66" s="1007"/>
      <c r="AA66" s="1007"/>
      <c r="AB66" s="1007"/>
      <c r="AC66" s="1007"/>
      <c r="AD66" s="1007"/>
      <c r="AE66" s="1007"/>
      <c r="AF66" s="1007"/>
      <c r="AG66" s="1007"/>
      <c r="AH66" s="1007"/>
      <c r="AI66" s="1007"/>
      <c r="AJ66" s="1007"/>
      <c r="AK66" s="1007"/>
      <c r="AL66" s="1007"/>
      <c r="AM66" s="1007"/>
      <c r="AN66" s="1007"/>
      <c r="AO66" s="1007"/>
      <c r="AP66" s="1007"/>
      <c r="AQ66" s="1007"/>
      <c r="AR66" s="1007"/>
      <c r="AS66" s="1007"/>
      <c r="AT66" s="1007"/>
      <c r="AU66" s="1007"/>
      <c r="AV66" s="1007"/>
      <c r="AW66" s="1007"/>
      <c r="AX66" s="1007"/>
      <c r="AY66" s="1007"/>
      <c r="AZ66" s="1007"/>
      <c r="BA66" s="1007"/>
      <c r="BB66" s="1007"/>
      <c r="BC66" s="1007"/>
      <c r="BD66" s="1007"/>
    </row>
    <row r="67" spans="1:56" ht="21" customHeight="1" thickBot="1" x14ac:dyDescent="0.25">
      <c r="A67" s="89" t="str">
        <f>IF(Stammblatt!$L$4=1,S67,V67)</f>
        <v>GESAMTSUMME</v>
      </c>
      <c r="B67" s="145"/>
      <c r="C67" s="75"/>
      <c r="D67" s="1039">
        <f ca="1">SUM(D56,D45,D34,D4)</f>
        <v>0</v>
      </c>
      <c r="E67" s="1096">
        <f ca="1">SUM(E56,E45,E34,E4)</f>
        <v>0</v>
      </c>
      <c r="F67" s="334"/>
      <c r="G67" s="335"/>
      <c r="H67" s="315"/>
      <c r="I67" s="1022">
        <f ca="1">SUM(I56,I45,I34,I4)</f>
        <v>0</v>
      </c>
      <c r="J67" s="316">
        <f ca="1">IF($I$67=0,,I67/$I$67)</f>
        <v>0</v>
      </c>
      <c r="K67" s="1023">
        <f>SUM(K56,K45,K34,K4)</f>
        <v>0</v>
      </c>
      <c r="L67" s="1024">
        <f>SUM(L56,L45,L34,L4)</f>
        <v>0</v>
      </c>
      <c r="M67" s="1007"/>
      <c r="N67" s="1007"/>
      <c r="O67" s="1039">
        <f>SUM(O56,O45,O34,O4)</f>
        <v>0</v>
      </c>
      <c r="P67" s="1039">
        <f ca="1">SUM(P56,P45,P34,P4)</f>
        <v>0</v>
      </c>
      <c r="Q67" s="1096">
        <f>SUM(Q56,Q45,Q34,Q4)</f>
        <v>0</v>
      </c>
      <c r="R67" s="1087"/>
      <c r="S67" s="1007" t="s">
        <v>255</v>
      </c>
      <c r="T67" s="1007"/>
      <c r="U67" s="1007"/>
      <c r="V67" s="1007" t="s">
        <v>288</v>
      </c>
      <c r="W67" s="1007"/>
      <c r="X67" s="1007"/>
      <c r="Y67" s="1007"/>
      <c r="Z67" s="1007"/>
      <c r="AA67" s="1007"/>
      <c r="AB67" s="1007"/>
      <c r="AC67" s="1007"/>
      <c r="AD67" s="1007"/>
      <c r="AE67" s="1007"/>
      <c r="AF67" s="1007"/>
      <c r="AG67" s="1007"/>
      <c r="AH67" s="1007"/>
      <c r="AI67" s="1007"/>
      <c r="AJ67" s="1007"/>
      <c r="AK67" s="1007"/>
      <c r="AL67" s="1007"/>
      <c r="AM67" s="1007"/>
      <c r="AN67" s="1007"/>
      <c r="AO67" s="1007"/>
      <c r="AP67" s="1007"/>
      <c r="AQ67" s="1007"/>
      <c r="AR67" s="1007"/>
      <c r="AS67" s="1007"/>
      <c r="AT67" s="1007"/>
      <c r="AU67" s="1007"/>
      <c r="AV67" s="1007"/>
      <c r="AW67" s="1007"/>
      <c r="AX67" s="1007"/>
      <c r="AY67" s="1007"/>
      <c r="AZ67" s="1007"/>
      <c r="BA67" s="1007"/>
      <c r="BB67" s="1007"/>
      <c r="BC67" s="1007"/>
      <c r="BD67" s="1007"/>
    </row>
    <row r="68" spans="1:56" ht="12.75" customHeight="1" x14ac:dyDescent="0.2">
      <c r="A68" s="315"/>
      <c r="B68" s="315"/>
      <c r="C68" s="388" t="s">
        <v>254</v>
      </c>
      <c r="D68" s="388">
        <f ca="1">SUM(D66,D54,D43,D32)</f>
        <v>0</v>
      </c>
      <c r="E68" s="387"/>
      <c r="F68" s="336"/>
      <c r="G68" s="337"/>
      <c r="H68" s="315"/>
      <c r="I68" s="338"/>
      <c r="J68" s="338"/>
      <c r="K68" s="339">
        <f ca="1">SUM(I67,K67)</f>
        <v>0</v>
      </c>
      <c r="L68" s="338"/>
      <c r="M68" s="1007"/>
      <c r="N68" s="1007"/>
      <c r="O68" s="1007"/>
      <c r="P68" s="1007"/>
      <c r="Q68" s="1007"/>
      <c r="R68" s="1087"/>
      <c r="S68" s="1007"/>
      <c r="T68" s="1007"/>
      <c r="U68" s="1007"/>
      <c r="V68" s="1007"/>
      <c r="W68" s="1007"/>
      <c r="X68" s="1007"/>
      <c r="Y68" s="1007"/>
      <c r="Z68" s="1007"/>
      <c r="AA68" s="1007"/>
      <c r="AB68" s="1007"/>
      <c r="AC68" s="1007"/>
      <c r="AD68" s="1007"/>
      <c r="AE68" s="1007"/>
      <c r="AF68" s="1007"/>
      <c r="AG68" s="1007"/>
      <c r="AH68" s="1007"/>
      <c r="AI68" s="1007"/>
      <c r="AJ68" s="1007"/>
      <c r="AK68" s="1007"/>
      <c r="AL68" s="1007"/>
      <c r="AM68" s="1007"/>
      <c r="AN68" s="1007"/>
      <c r="AO68" s="1007"/>
      <c r="AP68" s="1007"/>
      <c r="AQ68" s="1007"/>
      <c r="AR68" s="1007"/>
      <c r="AS68" s="1007"/>
      <c r="AT68" s="1007"/>
      <c r="AU68" s="1007"/>
      <c r="AV68" s="1007"/>
      <c r="AW68" s="1007"/>
      <c r="AX68" s="1007"/>
      <c r="AY68" s="1007"/>
      <c r="AZ68" s="1007"/>
      <c r="BA68" s="1007"/>
      <c r="BB68" s="1007"/>
      <c r="BC68" s="1007"/>
      <c r="BD68" s="1007"/>
    </row>
    <row r="69" spans="1:56" ht="13.5" thickBot="1" x14ac:dyDescent="0.25">
      <c r="A69" s="315"/>
      <c r="B69" s="315"/>
      <c r="C69" s="315"/>
      <c r="D69" s="315"/>
      <c r="E69" s="315"/>
      <c r="F69" s="315"/>
      <c r="G69" s="315"/>
      <c r="H69" s="315"/>
      <c r="I69" s="338"/>
      <c r="J69" s="338"/>
      <c r="K69" s="338"/>
      <c r="L69" s="338"/>
      <c r="M69" s="1007"/>
      <c r="N69" s="1007"/>
      <c r="O69" s="1007"/>
      <c r="P69" s="1007"/>
      <c r="Q69" s="1007"/>
      <c r="R69" s="1087"/>
      <c r="S69" s="1007"/>
      <c r="T69" s="1007"/>
      <c r="U69" s="1007"/>
      <c r="V69" s="1007"/>
      <c r="W69" s="1007"/>
      <c r="X69" s="1007"/>
      <c r="Y69" s="1007"/>
      <c r="Z69" s="1007"/>
      <c r="AA69" s="1007"/>
      <c r="AB69" s="1007"/>
      <c r="AC69" s="1007"/>
      <c r="AD69" s="1007"/>
      <c r="AE69" s="1007"/>
      <c r="AF69" s="1007"/>
      <c r="AG69" s="1007"/>
      <c r="AH69" s="1007"/>
      <c r="AI69" s="1007"/>
      <c r="AJ69" s="1007"/>
      <c r="AK69" s="1007"/>
      <c r="AL69" s="1007"/>
      <c r="AM69" s="1007"/>
      <c r="AN69" s="1007"/>
      <c r="AO69" s="1007"/>
      <c r="AP69" s="1007"/>
      <c r="AQ69" s="1007"/>
      <c r="AR69" s="1007"/>
      <c r="AS69" s="1007"/>
      <c r="AT69" s="1007"/>
      <c r="AU69" s="1007"/>
      <c r="AV69" s="1007"/>
      <c r="AW69" s="1007"/>
      <c r="AX69" s="1007"/>
      <c r="AY69" s="1007"/>
      <c r="AZ69" s="1007"/>
      <c r="BA69" s="1007"/>
      <c r="BB69" s="1007"/>
      <c r="BC69" s="1007"/>
      <c r="BD69" s="1007"/>
    </row>
    <row r="70" spans="1:56" x14ac:dyDescent="0.2">
      <c r="A70" s="1009" t="str">
        <f>IF(Stammblatt!$L$4=1,S70,V70)</f>
        <v>Gemeinsame Rechtevorverkäufe</v>
      </c>
      <c r="B70" s="342"/>
      <c r="C70" s="343"/>
      <c r="D70" s="344"/>
      <c r="E70" s="315"/>
      <c r="F70" s="315"/>
      <c r="G70" s="315"/>
      <c r="H70" s="315"/>
      <c r="I70" s="338"/>
      <c r="J70" s="338"/>
      <c r="K70" s="338"/>
      <c r="L70" s="338"/>
      <c r="M70" s="1007"/>
      <c r="N70" s="1007"/>
      <c r="O70" s="1007"/>
      <c r="P70" s="1007"/>
      <c r="Q70" s="1007"/>
      <c r="R70" s="1087"/>
      <c r="S70" s="1007" t="s">
        <v>743</v>
      </c>
      <c r="T70" s="1007"/>
      <c r="U70" s="1007"/>
      <c r="V70" s="1007" t="s">
        <v>744</v>
      </c>
      <c r="W70" s="1007"/>
      <c r="X70" s="1007"/>
      <c r="Y70" s="1007"/>
      <c r="Z70" s="1007"/>
      <c r="AA70" s="1007"/>
      <c r="AB70" s="1007"/>
      <c r="AC70" s="1007"/>
      <c r="AD70" s="1007"/>
      <c r="AE70" s="1007"/>
      <c r="AF70" s="1007"/>
      <c r="AG70" s="1007"/>
      <c r="AH70" s="1007"/>
      <c r="AI70" s="1007"/>
      <c r="AJ70" s="1007"/>
      <c r="AK70" s="1007"/>
      <c r="AL70" s="1007"/>
      <c r="AM70" s="1007"/>
      <c r="AN70" s="1007"/>
      <c r="AO70" s="1007"/>
      <c r="AP70" s="1007"/>
      <c r="AQ70" s="1007"/>
      <c r="AR70" s="1007"/>
      <c r="AS70" s="1007"/>
      <c r="AT70" s="1007"/>
      <c r="AU70" s="1007"/>
      <c r="AV70" s="1007"/>
      <c r="AW70" s="1007"/>
      <c r="AX70" s="1007"/>
      <c r="AY70" s="1007"/>
      <c r="AZ70" s="1007"/>
      <c r="BA70" s="1007"/>
      <c r="BB70" s="1007"/>
      <c r="BC70" s="1007"/>
      <c r="BD70" s="1007"/>
    </row>
    <row r="71" spans="1:56" x14ac:dyDescent="0.2">
      <c r="A71" s="1010" t="str">
        <f>IF(Stammblatt!$L$4=1,S71,V71)</f>
        <v>Lizenzen</v>
      </c>
      <c r="B71" s="184" t="s">
        <v>749</v>
      </c>
      <c r="C71" s="183"/>
      <c r="D71" s="185"/>
      <c r="E71" s="315"/>
      <c r="F71" s="315"/>
      <c r="G71" s="315"/>
      <c r="H71" s="315"/>
      <c r="I71" s="338"/>
      <c r="J71" s="338"/>
      <c r="K71" s="338"/>
      <c r="L71" s="338"/>
      <c r="M71" s="1007"/>
      <c r="N71" s="1007"/>
      <c r="O71" s="1007"/>
      <c r="P71" s="1007"/>
      <c r="Q71" s="1007"/>
      <c r="R71" s="1087"/>
      <c r="S71" s="1007" t="s">
        <v>745</v>
      </c>
      <c r="T71" s="1007"/>
      <c r="U71" s="1007"/>
      <c r="V71" s="1007" t="s">
        <v>747</v>
      </c>
      <c r="W71" s="1007"/>
      <c r="X71" s="1007"/>
      <c r="Y71" s="1007"/>
      <c r="Z71" s="1007"/>
      <c r="AA71" s="1007"/>
      <c r="AB71" s="1007"/>
      <c r="AC71" s="1007"/>
      <c r="AD71" s="1007"/>
      <c r="AE71" s="1007"/>
      <c r="AF71" s="1007"/>
      <c r="AG71" s="1007"/>
      <c r="AH71" s="1007"/>
      <c r="AI71" s="1007"/>
      <c r="AJ71" s="1007"/>
      <c r="AK71" s="1007"/>
      <c r="AL71" s="1007"/>
      <c r="AM71" s="1007"/>
      <c r="AN71" s="1007"/>
      <c r="AO71" s="1007"/>
      <c r="AP71" s="1007"/>
      <c r="AQ71" s="1007"/>
      <c r="AR71" s="1007"/>
      <c r="AS71" s="1007"/>
      <c r="AT71" s="1007"/>
      <c r="AU71" s="1007"/>
      <c r="AV71" s="1007"/>
      <c r="AW71" s="1007"/>
      <c r="AX71" s="1007"/>
      <c r="AY71" s="1007"/>
      <c r="AZ71" s="1007"/>
      <c r="BA71" s="1007"/>
      <c r="BB71" s="1007"/>
      <c r="BC71" s="1007"/>
      <c r="BD71" s="1007"/>
    </row>
    <row r="72" spans="1:56" x14ac:dyDescent="0.2">
      <c r="A72" s="1010" t="str">
        <f>IF(Stammblatt!$L$4=1,S72,V72)</f>
        <v>Garantien</v>
      </c>
      <c r="B72" s="184" t="s">
        <v>749</v>
      </c>
      <c r="C72" s="183"/>
      <c r="D72" s="185"/>
      <c r="E72" s="315"/>
      <c r="F72" s="315"/>
      <c r="G72" s="315"/>
      <c r="H72" s="315"/>
      <c r="I72" s="338"/>
      <c r="J72" s="338"/>
      <c r="K72" s="338"/>
      <c r="L72" s="338"/>
      <c r="M72" s="1007"/>
      <c r="N72" s="1007"/>
      <c r="O72" s="1007"/>
      <c r="P72" s="1007"/>
      <c r="Q72" s="1007"/>
      <c r="R72" s="1087"/>
      <c r="S72" s="1007" t="s">
        <v>746</v>
      </c>
      <c r="T72" s="1007"/>
      <c r="U72" s="1007"/>
      <c r="V72" s="1007" t="s">
        <v>748</v>
      </c>
      <c r="W72" s="1007"/>
      <c r="X72" s="1007"/>
      <c r="Y72" s="1007"/>
      <c r="Z72" s="1007"/>
      <c r="AA72" s="1007"/>
      <c r="AB72" s="1007"/>
      <c r="AC72" s="1007"/>
      <c r="AD72" s="1007"/>
      <c r="AE72" s="1007"/>
      <c r="AF72" s="1007"/>
      <c r="AG72" s="1007"/>
      <c r="AH72" s="1007"/>
      <c r="AI72" s="1007"/>
      <c r="AJ72" s="1007"/>
      <c r="AK72" s="1007"/>
      <c r="AL72" s="1007"/>
      <c r="AM72" s="1007"/>
      <c r="AN72" s="1007"/>
      <c r="AO72" s="1007"/>
      <c r="AP72" s="1007"/>
      <c r="AQ72" s="1007"/>
      <c r="AR72" s="1007"/>
      <c r="AS72" s="1007"/>
      <c r="AT72" s="1007"/>
      <c r="AU72" s="1007"/>
      <c r="AV72" s="1007"/>
      <c r="AW72" s="1007"/>
      <c r="AX72" s="1007"/>
      <c r="AY72" s="1007"/>
      <c r="AZ72" s="1007"/>
      <c r="BA72" s="1007"/>
      <c r="BB72" s="1007"/>
      <c r="BC72" s="1007"/>
      <c r="BD72" s="1007"/>
    </row>
    <row r="73" spans="1:56" x14ac:dyDescent="0.2">
      <c r="A73" s="1011" t="str">
        <f>IF(Stammblatt!$L$4=1,S73,V73)</f>
        <v>Sonstiges</v>
      </c>
      <c r="B73" s="186" t="s">
        <v>749</v>
      </c>
      <c r="C73" s="187"/>
      <c r="D73" s="188"/>
      <c r="E73" s="315"/>
      <c r="F73" s="315"/>
      <c r="G73" s="315"/>
      <c r="H73" s="315"/>
      <c r="I73" s="338"/>
      <c r="J73" s="338"/>
      <c r="K73" s="338"/>
      <c r="L73" s="338"/>
      <c r="M73" s="1007"/>
      <c r="N73" s="1007"/>
      <c r="O73" s="1007"/>
      <c r="P73" s="1007"/>
      <c r="Q73" s="1007"/>
      <c r="R73" s="1087"/>
      <c r="S73" s="1007" t="s">
        <v>686</v>
      </c>
      <c r="T73" s="1007"/>
      <c r="U73" s="1007"/>
      <c r="V73" s="1007" t="s">
        <v>371</v>
      </c>
      <c r="W73" s="1007"/>
      <c r="X73" s="1007"/>
      <c r="Y73" s="1007"/>
      <c r="Z73" s="1007"/>
      <c r="AA73" s="1007"/>
      <c r="AB73" s="1007"/>
      <c r="AC73" s="1007"/>
      <c r="AD73" s="1007"/>
      <c r="AE73" s="1007"/>
      <c r="AF73" s="1007"/>
      <c r="AG73" s="1007"/>
      <c r="AH73" s="1007"/>
      <c r="AI73" s="1007"/>
      <c r="AJ73" s="1007"/>
      <c r="AK73" s="1007"/>
      <c r="AL73" s="1007"/>
      <c r="AM73" s="1007"/>
      <c r="AN73" s="1007"/>
      <c r="AO73" s="1007"/>
      <c r="AP73" s="1007"/>
      <c r="AQ73" s="1007"/>
      <c r="AR73" s="1007"/>
      <c r="AS73" s="1007"/>
      <c r="AT73" s="1007"/>
      <c r="AU73" s="1007"/>
      <c r="AV73" s="1007"/>
      <c r="AW73" s="1007"/>
      <c r="AX73" s="1007"/>
      <c r="AY73" s="1007"/>
      <c r="AZ73" s="1007"/>
      <c r="BA73" s="1007"/>
      <c r="BB73" s="1007"/>
      <c r="BC73" s="1007"/>
      <c r="BD73" s="1007"/>
    </row>
    <row r="74" spans="1:56" ht="13.5" thickBot="1" x14ac:dyDescent="0.25">
      <c r="A74" s="1012" t="str">
        <f>IF(Stammblatt!$L$4=1,S74,V74)</f>
        <v>GESAMTSUMME</v>
      </c>
      <c r="B74" s="340"/>
      <c r="C74" s="340"/>
      <c r="D74" s="341">
        <f>SUM(D71:D73)</f>
        <v>0</v>
      </c>
      <c r="E74" s="315"/>
      <c r="F74" s="315"/>
      <c r="G74" s="315"/>
      <c r="H74" s="315"/>
      <c r="I74" s="338"/>
      <c r="J74" s="338"/>
      <c r="K74" s="338"/>
      <c r="L74" s="338"/>
      <c r="M74" s="1007"/>
      <c r="N74" s="1007"/>
      <c r="O74" s="1007"/>
      <c r="P74" s="1007"/>
      <c r="Q74" s="1007"/>
      <c r="R74" s="1087"/>
      <c r="S74" s="1007" t="s">
        <v>255</v>
      </c>
      <c r="T74" s="1007"/>
      <c r="U74" s="1007"/>
      <c r="V74" s="1007" t="s">
        <v>288</v>
      </c>
      <c r="W74" s="1007"/>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7"/>
      <c r="AV74" s="1007"/>
      <c r="AW74" s="1007"/>
      <c r="AX74" s="1007"/>
      <c r="AY74" s="1007"/>
      <c r="AZ74" s="1007"/>
      <c r="BA74" s="1007"/>
      <c r="BB74" s="1007"/>
      <c r="BC74" s="1007"/>
      <c r="BD74" s="1007"/>
    </row>
    <row r="75" spans="1:56" x14ac:dyDescent="0.2">
      <c r="A75" s="315"/>
      <c r="B75" s="315"/>
      <c r="C75" s="315"/>
      <c r="D75" s="315"/>
      <c r="E75" s="315"/>
      <c r="F75" s="315"/>
      <c r="G75" s="315"/>
      <c r="H75" s="315"/>
      <c r="I75" s="338"/>
      <c r="J75" s="338"/>
      <c r="K75" s="338"/>
      <c r="L75" s="338"/>
      <c r="M75" s="1007"/>
      <c r="N75" s="1007"/>
      <c r="O75" s="1007"/>
      <c r="P75" s="1007"/>
      <c r="Q75" s="1007"/>
      <c r="R75" s="1087"/>
      <c r="S75" s="1007"/>
      <c r="T75" s="1007"/>
      <c r="U75" s="1007"/>
      <c r="V75" s="1007"/>
      <c r="W75" s="1007"/>
      <c r="X75" s="1007"/>
      <c r="Y75" s="1007"/>
      <c r="Z75" s="1007"/>
      <c r="AA75" s="1007"/>
      <c r="AB75" s="1007"/>
      <c r="AC75" s="1007"/>
      <c r="AD75" s="1007"/>
      <c r="AE75" s="1007"/>
      <c r="AF75" s="1007"/>
      <c r="AG75" s="1007"/>
      <c r="AH75" s="1007"/>
      <c r="AI75" s="1007"/>
      <c r="AJ75" s="1007"/>
      <c r="AK75" s="1007"/>
      <c r="AL75" s="1007"/>
      <c r="AM75" s="1007"/>
      <c r="AN75" s="1007"/>
      <c r="AO75" s="1007"/>
      <c r="AP75" s="1007"/>
      <c r="AQ75" s="1007"/>
      <c r="AR75" s="1007"/>
      <c r="AS75" s="1007"/>
      <c r="AT75" s="1007"/>
      <c r="AU75" s="1007"/>
      <c r="AV75" s="1007"/>
      <c r="AW75" s="1007"/>
      <c r="AX75" s="1007"/>
      <c r="AY75" s="1007"/>
      <c r="AZ75" s="1007"/>
      <c r="BA75" s="1007"/>
      <c r="BB75" s="1007"/>
      <c r="BC75" s="1007"/>
      <c r="BD75" s="1007"/>
    </row>
    <row r="76" spans="1:56" x14ac:dyDescent="0.2">
      <c r="A76" s="315"/>
      <c r="B76" s="315"/>
      <c r="C76" s="315"/>
      <c r="D76" s="315"/>
      <c r="E76" s="315"/>
      <c r="F76" s="315"/>
      <c r="G76" s="315"/>
      <c r="H76" s="315"/>
      <c r="I76" s="338"/>
      <c r="J76" s="338"/>
      <c r="K76" s="338"/>
      <c r="L76" s="338"/>
      <c r="M76" s="1007"/>
      <c r="N76" s="1007"/>
      <c r="O76" s="1007"/>
      <c r="P76" s="1007"/>
      <c r="Q76" s="1007"/>
      <c r="R76" s="1087"/>
      <c r="S76" s="1007"/>
      <c r="T76" s="1007"/>
      <c r="U76" s="1007"/>
      <c r="V76" s="1007"/>
      <c r="W76" s="1007"/>
      <c r="X76" s="1007"/>
      <c r="Y76" s="1007"/>
      <c r="Z76" s="1007"/>
      <c r="AA76" s="1007"/>
      <c r="AB76" s="1007"/>
      <c r="AC76" s="1007"/>
      <c r="AD76" s="1007"/>
      <c r="AE76" s="1007"/>
      <c r="AF76" s="1007"/>
      <c r="AG76" s="1007"/>
      <c r="AH76" s="1007"/>
      <c r="AI76" s="1007"/>
      <c r="AJ76" s="1007"/>
      <c r="AK76" s="1007"/>
      <c r="AL76" s="1007"/>
      <c r="AM76" s="1007"/>
      <c r="AN76" s="1007"/>
      <c r="AO76" s="1007"/>
      <c r="AP76" s="1007"/>
      <c r="AQ76" s="1007"/>
      <c r="AR76" s="1007"/>
      <c r="AS76" s="1007"/>
      <c r="AT76" s="1007"/>
      <c r="AU76" s="1007"/>
      <c r="AV76" s="1007"/>
      <c r="AW76" s="1007"/>
      <c r="AX76" s="1007"/>
      <c r="AY76" s="1007"/>
      <c r="AZ76" s="1007"/>
      <c r="BA76" s="1007"/>
      <c r="BB76" s="1007"/>
      <c r="BC76" s="1007"/>
      <c r="BD76" s="1007"/>
    </row>
    <row r="77" spans="1:56" x14ac:dyDescent="0.2">
      <c r="A77" s="315"/>
      <c r="B77" s="315"/>
      <c r="C77" s="315"/>
      <c r="D77" s="315"/>
      <c r="E77" s="315"/>
      <c r="F77" s="315"/>
      <c r="G77" s="315"/>
      <c r="H77" s="315"/>
      <c r="I77" s="338"/>
      <c r="J77" s="338"/>
      <c r="K77" s="338"/>
      <c r="L77" s="338"/>
      <c r="M77" s="1007"/>
      <c r="N77" s="1007"/>
      <c r="O77" s="1007"/>
      <c r="P77" s="1007"/>
      <c r="Q77" s="1007"/>
      <c r="R77" s="1087"/>
      <c r="S77" s="1007"/>
      <c r="T77" s="1007"/>
      <c r="U77" s="1007"/>
      <c r="V77" s="1007"/>
      <c r="W77" s="1007"/>
      <c r="X77" s="1007"/>
      <c r="Y77" s="1007"/>
      <c r="Z77" s="1007"/>
      <c r="AA77" s="1007"/>
      <c r="AB77" s="1007"/>
      <c r="AC77" s="1007"/>
      <c r="AD77" s="1007"/>
      <c r="AE77" s="1007"/>
      <c r="AF77" s="1007"/>
      <c r="AG77" s="1007"/>
      <c r="AH77" s="1007"/>
      <c r="AI77" s="1007"/>
      <c r="AJ77" s="1007"/>
      <c r="AK77" s="1007"/>
      <c r="AL77" s="1007"/>
      <c r="AM77" s="1007"/>
      <c r="AN77" s="1007"/>
      <c r="AO77" s="1007"/>
      <c r="AP77" s="1007"/>
      <c r="AQ77" s="1007"/>
      <c r="AR77" s="1007"/>
      <c r="AS77" s="1007"/>
      <c r="AT77" s="1007"/>
      <c r="AU77" s="1007"/>
      <c r="AV77" s="1007"/>
      <c r="AW77" s="1007"/>
      <c r="AX77" s="1007"/>
      <c r="AY77" s="1007"/>
      <c r="AZ77" s="1007"/>
      <c r="BA77" s="1007"/>
      <c r="BB77" s="1007"/>
      <c r="BC77" s="1007"/>
      <c r="BD77" s="1007"/>
    </row>
    <row r="78" spans="1:56" x14ac:dyDescent="0.2">
      <c r="A78" s="315"/>
      <c r="B78" s="315"/>
      <c r="C78" s="315"/>
      <c r="D78" s="315"/>
      <c r="E78" s="315"/>
      <c r="F78" s="315"/>
      <c r="G78" s="315"/>
      <c r="H78" s="315"/>
      <c r="I78" s="338"/>
      <c r="J78" s="338"/>
      <c r="K78" s="338"/>
      <c r="L78" s="338"/>
      <c r="M78" s="1007"/>
      <c r="N78" s="1007"/>
      <c r="O78" s="1007"/>
      <c r="P78" s="1007"/>
      <c r="Q78" s="1007"/>
      <c r="R78" s="1087"/>
      <c r="S78" s="1007"/>
      <c r="T78" s="1007"/>
      <c r="U78" s="1007"/>
      <c r="V78" s="1007"/>
      <c r="W78" s="1007"/>
      <c r="X78" s="1007"/>
      <c r="Y78" s="1007"/>
      <c r="Z78" s="1007"/>
      <c r="AA78" s="1007"/>
      <c r="AB78" s="1007"/>
      <c r="AC78" s="1007"/>
      <c r="AD78" s="1007"/>
      <c r="AE78" s="1007"/>
      <c r="AF78" s="1007"/>
      <c r="AG78" s="1007"/>
      <c r="AH78" s="1007"/>
      <c r="AI78" s="1007"/>
      <c r="AJ78" s="1007"/>
      <c r="AK78" s="1007"/>
      <c r="AL78" s="1007"/>
      <c r="AM78" s="1007"/>
      <c r="AN78" s="1007"/>
      <c r="AO78" s="1007"/>
      <c r="AP78" s="1007"/>
      <c r="AQ78" s="1007"/>
      <c r="AR78" s="1007"/>
      <c r="AS78" s="1007"/>
      <c r="AT78" s="1007"/>
      <c r="AU78" s="1007"/>
      <c r="AV78" s="1007"/>
      <c r="AW78" s="1007"/>
      <c r="AX78" s="1007"/>
      <c r="AY78" s="1007"/>
      <c r="AZ78" s="1007"/>
      <c r="BA78" s="1007"/>
      <c r="BB78" s="1007"/>
      <c r="BC78" s="1007"/>
      <c r="BD78" s="1007"/>
    </row>
    <row r="79" spans="1:56" x14ac:dyDescent="0.2">
      <c r="A79" s="315"/>
      <c r="B79" s="315"/>
      <c r="C79" s="315"/>
      <c r="D79" s="315"/>
      <c r="E79" s="315"/>
      <c r="F79" s="315"/>
      <c r="G79" s="315"/>
      <c r="H79" s="315"/>
      <c r="I79" s="338"/>
      <c r="J79" s="338"/>
      <c r="K79" s="338"/>
      <c r="L79" s="338"/>
      <c r="M79" s="1007"/>
      <c r="N79" s="1007"/>
      <c r="O79" s="1007"/>
      <c r="P79" s="1007"/>
      <c r="Q79" s="1007"/>
      <c r="R79" s="1087"/>
      <c r="S79" s="1007"/>
      <c r="T79" s="1007"/>
      <c r="U79" s="1007"/>
      <c r="V79" s="1007"/>
      <c r="W79" s="1007"/>
      <c r="X79" s="1007"/>
      <c r="Y79" s="1007"/>
      <c r="Z79" s="1007"/>
      <c r="AA79" s="1007"/>
      <c r="AB79" s="1007"/>
      <c r="AC79" s="1007"/>
      <c r="AD79" s="1007"/>
      <c r="AE79" s="1007"/>
      <c r="AF79" s="1007"/>
      <c r="AG79" s="1007"/>
      <c r="AH79" s="1007"/>
      <c r="AI79" s="1007"/>
      <c r="AJ79" s="1007"/>
      <c r="AK79" s="1007"/>
      <c r="AL79" s="1007"/>
      <c r="AM79" s="1007"/>
      <c r="AN79" s="1007"/>
      <c r="AO79" s="1007"/>
      <c r="AP79" s="1007"/>
      <c r="AQ79" s="1007"/>
      <c r="AR79" s="1007"/>
      <c r="AS79" s="1007"/>
      <c r="AT79" s="1007"/>
      <c r="AU79" s="1007"/>
      <c r="AV79" s="1007"/>
      <c r="AW79" s="1007"/>
      <c r="AX79" s="1007"/>
      <c r="AY79" s="1007"/>
      <c r="AZ79" s="1007"/>
      <c r="BA79" s="1007"/>
      <c r="BB79" s="1007"/>
      <c r="BC79" s="1007"/>
      <c r="BD79" s="1007"/>
    </row>
    <row r="80" spans="1:56" x14ac:dyDescent="0.2">
      <c r="A80" s="315"/>
      <c r="B80" s="315"/>
      <c r="C80" s="315"/>
      <c r="D80" s="315"/>
      <c r="E80" s="315"/>
      <c r="F80" s="315"/>
      <c r="G80" s="315"/>
      <c r="H80" s="315"/>
      <c r="I80" s="338"/>
      <c r="J80" s="338"/>
      <c r="K80" s="338"/>
      <c r="L80" s="338"/>
      <c r="M80" s="1007"/>
      <c r="N80" s="1007"/>
      <c r="O80" s="1007"/>
      <c r="P80" s="1007"/>
      <c r="Q80" s="1007"/>
      <c r="R80" s="1087"/>
      <c r="S80" s="1007"/>
      <c r="T80" s="1007"/>
      <c r="U80" s="1007"/>
      <c r="V80" s="1007"/>
      <c r="W80" s="1007"/>
      <c r="X80" s="1007"/>
      <c r="Y80" s="1007"/>
      <c r="Z80" s="1007"/>
      <c r="AA80" s="1007"/>
      <c r="AB80" s="1007"/>
      <c r="AC80" s="1007"/>
      <c r="AD80" s="1007"/>
      <c r="AE80" s="1007"/>
      <c r="AF80" s="1007"/>
      <c r="AG80" s="1007"/>
      <c r="AH80" s="1007"/>
      <c r="AI80" s="1007"/>
      <c r="AJ80" s="1007"/>
      <c r="AK80" s="1007"/>
      <c r="AL80" s="1007"/>
      <c r="AM80" s="1007"/>
      <c r="AN80" s="1007"/>
      <c r="AO80" s="1007"/>
      <c r="AP80" s="1007"/>
      <c r="AQ80" s="1007"/>
      <c r="AR80" s="1007"/>
      <c r="AS80" s="1007"/>
      <c r="AT80" s="1007"/>
      <c r="AU80" s="1007"/>
      <c r="AV80" s="1007"/>
      <c r="AW80" s="1007"/>
      <c r="AX80" s="1007"/>
      <c r="AY80" s="1007"/>
      <c r="AZ80" s="1007"/>
      <c r="BA80" s="1007"/>
      <c r="BB80" s="1007"/>
      <c r="BC80" s="1007"/>
      <c r="BD80" s="1007"/>
    </row>
    <row r="81" spans="1:56" x14ac:dyDescent="0.2">
      <c r="A81" s="315"/>
      <c r="B81" s="315"/>
      <c r="C81" s="315"/>
      <c r="D81" s="315"/>
      <c r="E81" s="315"/>
      <c r="F81" s="315"/>
      <c r="G81" s="315"/>
      <c r="H81" s="315"/>
      <c r="I81" s="338"/>
      <c r="J81" s="338"/>
      <c r="K81" s="338"/>
      <c r="L81" s="338"/>
      <c r="M81" s="1007"/>
      <c r="N81" s="1007"/>
      <c r="O81" s="1007"/>
      <c r="P81" s="1007"/>
      <c r="Q81" s="1007"/>
      <c r="R81" s="1087"/>
      <c r="S81" s="1007"/>
      <c r="T81" s="1007"/>
      <c r="U81" s="1007"/>
      <c r="V81" s="1007"/>
      <c r="W81" s="1007"/>
      <c r="X81" s="1007"/>
      <c r="Y81" s="1007"/>
      <c r="Z81" s="1007"/>
      <c r="AA81" s="1007"/>
      <c r="AB81" s="1007"/>
      <c r="AC81" s="1007"/>
      <c r="AD81" s="1007"/>
      <c r="AE81" s="1007"/>
      <c r="AF81" s="1007"/>
      <c r="AG81" s="1007"/>
      <c r="AH81" s="1007"/>
      <c r="AI81" s="1007"/>
      <c r="AJ81" s="1007"/>
      <c r="AK81" s="1007"/>
      <c r="AL81" s="1007"/>
      <c r="AM81" s="1007"/>
      <c r="AN81" s="1007"/>
      <c r="AO81" s="1007"/>
      <c r="AP81" s="1007"/>
      <c r="AQ81" s="1007"/>
      <c r="AR81" s="1007"/>
      <c r="AS81" s="1007"/>
      <c r="AT81" s="1007"/>
      <c r="AU81" s="1007"/>
      <c r="AV81" s="1007"/>
      <c r="AW81" s="1007"/>
      <c r="AX81" s="1007"/>
      <c r="AY81" s="1007"/>
      <c r="AZ81" s="1007"/>
      <c r="BA81" s="1007"/>
      <c r="BB81" s="1007"/>
      <c r="BC81" s="1007"/>
      <c r="BD81" s="1007"/>
    </row>
    <row r="82" spans="1:56" x14ac:dyDescent="0.2">
      <c r="A82" s="315"/>
      <c r="B82" s="315"/>
      <c r="C82" s="315"/>
      <c r="D82" s="315"/>
      <c r="E82" s="315"/>
      <c r="F82" s="315"/>
      <c r="G82" s="315"/>
      <c r="H82" s="315"/>
      <c r="I82" s="338"/>
      <c r="J82" s="338"/>
      <c r="K82" s="338"/>
      <c r="L82" s="338"/>
      <c r="M82" s="1007"/>
      <c r="N82" s="1007"/>
      <c r="O82" s="1007"/>
      <c r="P82" s="1007"/>
      <c r="Q82" s="1007"/>
      <c r="R82" s="1087"/>
      <c r="S82" s="1007"/>
      <c r="T82" s="1007"/>
      <c r="U82" s="1007"/>
      <c r="V82" s="1007"/>
      <c r="W82" s="1007"/>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7"/>
      <c r="AT82" s="1007"/>
      <c r="AU82" s="1007"/>
      <c r="AV82" s="1007"/>
      <c r="AW82" s="1007"/>
      <c r="AX82" s="1007"/>
      <c r="AY82" s="1007"/>
      <c r="AZ82" s="1007"/>
      <c r="BA82" s="1007"/>
      <c r="BB82" s="1007"/>
      <c r="BC82" s="1007"/>
      <c r="BD82" s="1007"/>
    </row>
    <row r="83" spans="1:56" x14ac:dyDescent="0.2">
      <c r="A83" s="315"/>
      <c r="B83" s="315"/>
      <c r="C83" s="315"/>
      <c r="D83" s="315"/>
      <c r="E83" s="315"/>
      <c r="F83" s="315"/>
      <c r="G83" s="315"/>
      <c r="H83" s="315"/>
      <c r="I83" s="338"/>
      <c r="J83" s="338"/>
      <c r="K83" s="338"/>
      <c r="L83" s="338"/>
      <c r="M83" s="1007"/>
      <c r="N83" s="1007"/>
      <c r="O83" s="1007"/>
      <c r="P83" s="1007"/>
      <c r="Q83" s="1007"/>
      <c r="R83" s="1087"/>
      <c r="S83" s="1007"/>
      <c r="T83" s="1007"/>
      <c r="U83" s="1007"/>
      <c r="V83" s="1007"/>
      <c r="W83" s="1007"/>
      <c r="X83" s="1007"/>
      <c r="Y83" s="1007"/>
      <c r="Z83" s="1007"/>
      <c r="AA83" s="1007"/>
      <c r="AB83" s="1007"/>
      <c r="AC83" s="1007"/>
      <c r="AD83" s="1007"/>
      <c r="AE83" s="1007"/>
      <c r="AF83" s="1007"/>
      <c r="AG83" s="1007"/>
      <c r="AH83" s="1007"/>
      <c r="AI83" s="1007"/>
      <c r="AJ83" s="1007"/>
      <c r="AK83" s="1007"/>
      <c r="AL83" s="1007"/>
      <c r="AM83" s="1007"/>
      <c r="AN83" s="1007"/>
      <c r="AO83" s="1007"/>
      <c r="AP83" s="1007"/>
      <c r="AQ83" s="1007"/>
      <c r="AR83" s="1007"/>
      <c r="AS83" s="1007"/>
      <c r="AT83" s="1007"/>
      <c r="AU83" s="1007"/>
      <c r="AV83" s="1007"/>
      <c r="AW83" s="1007"/>
      <c r="AX83" s="1007"/>
      <c r="AY83" s="1007"/>
      <c r="AZ83" s="1007"/>
      <c r="BA83" s="1007"/>
      <c r="BB83" s="1007"/>
      <c r="BC83" s="1007"/>
      <c r="BD83" s="1007"/>
    </row>
    <row r="84" spans="1:56" x14ac:dyDescent="0.2">
      <c r="A84" s="315"/>
      <c r="B84" s="315"/>
      <c r="C84" s="315"/>
      <c r="D84" s="315"/>
      <c r="E84" s="315"/>
      <c r="F84" s="315"/>
      <c r="G84" s="315"/>
      <c r="H84" s="315"/>
      <c r="I84" s="338"/>
      <c r="J84" s="338"/>
      <c r="K84" s="338"/>
      <c r="L84" s="338"/>
      <c r="M84" s="1007"/>
      <c r="N84" s="1007"/>
      <c r="O84" s="1007"/>
      <c r="P84" s="1007"/>
      <c r="Q84" s="1007"/>
      <c r="R84" s="1087"/>
      <c r="S84" s="1007"/>
      <c r="T84" s="1007"/>
      <c r="U84" s="1007"/>
      <c r="V84" s="1007"/>
      <c r="W84" s="1007"/>
      <c r="X84" s="1007"/>
      <c r="Y84" s="1007"/>
      <c r="Z84" s="1007"/>
      <c r="AA84" s="1007"/>
      <c r="AB84" s="1007"/>
      <c r="AC84" s="1007"/>
      <c r="AD84" s="1007"/>
      <c r="AE84" s="1007"/>
      <c r="AF84" s="1007"/>
      <c r="AG84" s="1007"/>
      <c r="AH84" s="1007"/>
      <c r="AI84" s="1007"/>
      <c r="AJ84" s="1007"/>
      <c r="AK84" s="1007"/>
      <c r="AL84" s="1007"/>
      <c r="AM84" s="1007"/>
      <c r="AN84" s="1007"/>
      <c r="AO84" s="1007"/>
      <c r="AP84" s="1007"/>
      <c r="AQ84" s="1007"/>
      <c r="AR84" s="1007"/>
      <c r="AS84" s="1007"/>
      <c r="AT84" s="1007"/>
      <c r="AU84" s="1007"/>
      <c r="AV84" s="1007"/>
      <c r="AW84" s="1007"/>
      <c r="AX84" s="1007"/>
      <c r="AY84" s="1007"/>
      <c r="AZ84" s="1007"/>
      <c r="BA84" s="1007"/>
      <c r="BB84" s="1007"/>
      <c r="BC84" s="1007"/>
      <c r="BD84" s="1007"/>
    </row>
    <row r="85" spans="1:56" x14ac:dyDescent="0.2">
      <c r="A85" s="315"/>
      <c r="B85" s="315"/>
      <c r="C85" s="315"/>
      <c r="D85" s="315"/>
      <c r="E85" s="315"/>
      <c r="F85" s="315"/>
      <c r="G85" s="315"/>
      <c r="H85" s="315"/>
      <c r="I85" s="338"/>
      <c r="J85" s="338"/>
      <c r="K85" s="338"/>
      <c r="L85" s="338"/>
      <c r="M85" s="1007"/>
      <c r="N85" s="1007"/>
      <c r="O85" s="1007"/>
      <c r="P85" s="1007"/>
      <c r="Q85" s="1007"/>
      <c r="R85" s="1087"/>
      <c r="S85" s="1007"/>
      <c r="T85" s="1007"/>
      <c r="U85" s="1007"/>
      <c r="V85" s="1007"/>
      <c r="W85" s="1007"/>
      <c r="X85" s="1007"/>
      <c r="Y85" s="1007"/>
      <c r="Z85" s="1007"/>
      <c r="AA85" s="1007"/>
      <c r="AB85" s="1007"/>
      <c r="AC85" s="1007"/>
      <c r="AD85" s="1007"/>
      <c r="AE85" s="1007"/>
      <c r="AF85" s="1007"/>
      <c r="AG85" s="1007"/>
      <c r="AH85" s="1007"/>
      <c r="AI85" s="1007"/>
      <c r="AJ85" s="1007"/>
      <c r="AK85" s="1007"/>
      <c r="AL85" s="1007"/>
      <c r="AM85" s="1007"/>
      <c r="AN85" s="1007"/>
      <c r="AO85" s="1007"/>
      <c r="AP85" s="1007"/>
      <c r="AQ85" s="1007"/>
      <c r="AR85" s="1007"/>
      <c r="AS85" s="1007"/>
      <c r="AT85" s="1007"/>
      <c r="AU85" s="1007"/>
      <c r="AV85" s="1007"/>
      <c r="AW85" s="1007"/>
      <c r="AX85" s="1007"/>
      <c r="AY85" s="1007"/>
      <c r="AZ85" s="1007"/>
      <c r="BA85" s="1007"/>
      <c r="BB85" s="1007"/>
      <c r="BC85" s="1007"/>
      <c r="BD85" s="1007"/>
    </row>
    <row r="86" spans="1:56" x14ac:dyDescent="0.2">
      <c r="A86" s="315"/>
      <c r="B86" s="315"/>
      <c r="C86" s="315"/>
      <c r="D86" s="315"/>
      <c r="E86" s="315"/>
      <c r="F86" s="315"/>
      <c r="G86" s="315"/>
      <c r="H86" s="315"/>
      <c r="I86" s="338"/>
      <c r="J86" s="338"/>
      <c r="K86" s="338"/>
      <c r="L86" s="338"/>
      <c r="M86" s="1007"/>
      <c r="N86" s="1007"/>
      <c r="O86" s="1007"/>
      <c r="P86" s="1007"/>
      <c r="Q86" s="1007"/>
      <c r="R86" s="1087"/>
      <c r="S86" s="1007"/>
      <c r="T86" s="1007"/>
      <c r="U86" s="1007"/>
      <c r="V86" s="1007"/>
      <c r="W86" s="1007"/>
      <c r="X86" s="1007"/>
      <c r="Y86" s="1007"/>
      <c r="Z86" s="1007"/>
      <c r="AA86" s="1007"/>
      <c r="AB86" s="1007"/>
      <c r="AC86" s="1007"/>
      <c r="AD86" s="1007"/>
      <c r="AE86" s="1007"/>
      <c r="AF86" s="1007"/>
      <c r="AG86" s="1007"/>
      <c r="AH86" s="1007"/>
      <c r="AI86" s="1007"/>
      <c r="AJ86" s="1007"/>
      <c r="AK86" s="1007"/>
      <c r="AL86" s="1007"/>
      <c r="AM86" s="1007"/>
      <c r="AN86" s="1007"/>
      <c r="AO86" s="1007"/>
      <c r="AP86" s="1007"/>
      <c r="AQ86" s="1007"/>
      <c r="AR86" s="1007"/>
      <c r="AS86" s="1007"/>
      <c r="AT86" s="1007"/>
      <c r="AU86" s="1007"/>
      <c r="AV86" s="1007"/>
      <c r="AW86" s="1007"/>
      <c r="AX86" s="1007"/>
      <c r="AY86" s="1007"/>
      <c r="AZ86" s="1007"/>
      <c r="BA86" s="1007"/>
      <c r="BB86" s="1007"/>
      <c r="BC86" s="1007"/>
      <c r="BD86" s="1007"/>
    </row>
    <row r="87" spans="1:56" x14ac:dyDescent="0.2">
      <c r="A87" s="315"/>
      <c r="B87" s="315"/>
      <c r="C87" s="315"/>
      <c r="D87" s="315"/>
      <c r="E87" s="315"/>
      <c r="F87" s="315"/>
      <c r="G87" s="315"/>
      <c r="H87" s="315"/>
      <c r="I87" s="338"/>
      <c r="J87" s="338"/>
      <c r="K87" s="338"/>
      <c r="L87" s="338"/>
      <c r="M87" s="1007"/>
      <c r="N87" s="1007"/>
      <c r="O87" s="1007"/>
      <c r="P87" s="1007"/>
      <c r="Q87" s="1007"/>
      <c r="R87" s="1087"/>
      <c r="S87" s="1007"/>
      <c r="T87" s="1007"/>
      <c r="U87" s="1007"/>
      <c r="V87" s="1007"/>
      <c r="W87" s="1007"/>
      <c r="X87" s="1007"/>
      <c r="Y87" s="1007"/>
      <c r="Z87" s="1007"/>
      <c r="AA87" s="1007"/>
      <c r="AB87" s="1007"/>
      <c r="AC87" s="1007"/>
      <c r="AD87" s="1007"/>
      <c r="AE87" s="1007"/>
      <c r="AF87" s="1007"/>
      <c r="AG87" s="1007"/>
      <c r="AH87" s="1007"/>
      <c r="AI87" s="1007"/>
      <c r="AJ87" s="1007"/>
      <c r="AK87" s="1007"/>
      <c r="AL87" s="1007"/>
      <c r="AM87" s="1007"/>
      <c r="AN87" s="1007"/>
      <c r="AO87" s="1007"/>
      <c r="AP87" s="1007"/>
      <c r="AQ87" s="1007"/>
      <c r="AR87" s="1007"/>
      <c r="AS87" s="1007"/>
      <c r="AT87" s="1007"/>
      <c r="AU87" s="1007"/>
      <c r="AV87" s="1007"/>
      <c r="AW87" s="1007"/>
      <c r="AX87" s="1007"/>
      <c r="AY87" s="1007"/>
      <c r="AZ87" s="1007"/>
      <c r="BA87" s="1007"/>
      <c r="BB87" s="1007"/>
      <c r="BC87" s="1007"/>
      <c r="BD87" s="1007"/>
    </row>
    <row r="88" spans="1:56" x14ac:dyDescent="0.2">
      <c r="A88" s="315"/>
      <c r="B88" s="315"/>
      <c r="C88" s="315"/>
      <c r="D88" s="315"/>
      <c r="E88" s="315"/>
      <c r="F88" s="315"/>
      <c r="G88" s="315"/>
      <c r="H88" s="315"/>
      <c r="I88" s="338"/>
      <c r="J88" s="338"/>
      <c r="K88" s="338"/>
      <c r="L88" s="338"/>
      <c r="M88" s="1007"/>
      <c r="N88" s="1007"/>
      <c r="O88" s="1007"/>
      <c r="P88" s="1007"/>
      <c r="Q88" s="1007"/>
      <c r="R88" s="1087"/>
      <c r="S88" s="1007"/>
      <c r="T88" s="1007"/>
      <c r="U88" s="1007"/>
      <c r="V88" s="1007"/>
      <c r="W88" s="1007"/>
      <c r="X88" s="1007"/>
      <c r="Y88" s="1007"/>
      <c r="Z88" s="1007"/>
      <c r="AA88" s="1007"/>
      <c r="AB88" s="1007"/>
      <c r="AC88" s="1007"/>
      <c r="AD88" s="1007"/>
      <c r="AE88" s="1007"/>
      <c r="AF88" s="1007"/>
      <c r="AG88" s="1007"/>
      <c r="AH88" s="1007"/>
      <c r="AI88" s="1007"/>
      <c r="AJ88" s="1007"/>
      <c r="AK88" s="1007"/>
      <c r="AL88" s="1007"/>
      <c r="AM88" s="1007"/>
      <c r="AN88" s="1007"/>
      <c r="AO88" s="1007"/>
      <c r="AP88" s="1007"/>
      <c r="AQ88" s="1007"/>
      <c r="AR88" s="1007"/>
      <c r="AS88" s="1007"/>
      <c r="AT88" s="1007"/>
      <c r="AU88" s="1007"/>
      <c r="AV88" s="1007"/>
      <c r="AW88" s="1007"/>
      <c r="AX88" s="1007"/>
      <c r="AY88" s="1007"/>
      <c r="AZ88" s="1007"/>
      <c r="BA88" s="1007"/>
      <c r="BB88" s="1007"/>
      <c r="BC88" s="1007"/>
      <c r="BD88" s="1007"/>
    </row>
    <row r="89" spans="1:56" x14ac:dyDescent="0.2">
      <c r="A89" s="315"/>
      <c r="B89" s="315"/>
      <c r="C89" s="315"/>
      <c r="D89" s="315"/>
      <c r="E89" s="315"/>
      <c r="F89" s="315"/>
      <c r="G89" s="315"/>
      <c r="H89" s="315"/>
      <c r="I89" s="338"/>
      <c r="J89" s="338"/>
      <c r="K89" s="338"/>
      <c r="L89" s="338"/>
      <c r="M89" s="1007"/>
      <c r="N89" s="1007"/>
      <c r="O89" s="1007"/>
      <c r="P89" s="1007"/>
      <c r="Q89" s="1007"/>
      <c r="R89" s="1087"/>
      <c r="S89" s="1007"/>
      <c r="T89" s="1007"/>
      <c r="U89" s="1007"/>
      <c r="V89" s="1007"/>
      <c r="W89" s="1007"/>
      <c r="X89" s="1007"/>
      <c r="Y89" s="1007"/>
      <c r="Z89" s="1007"/>
      <c r="AA89" s="1007"/>
      <c r="AB89" s="1007"/>
      <c r="AC89" s="1007"/>
      <c r="AD89" s="1007"/>
      <c r="AE89" s="1007"/>
      <c r="AF89" s="1007"/>
      <c r="AG89" s="1007"/>
      <c r="AH89" s="1007"/>
      <c r="AI89" s="1007"/>
      <c r="AJ89" s="1007"/>
      <c r="AK89" s="1007"/>
      <c r="AL89" s="1007"/>
      <c r="AM89" s="1007"/>
      <c r="AN89" s="1007"/>
      <c r="AO89" s="1007"/>
      <c r="AP89" s="1007"/>
      <c r="AQ89" s="1007"/>
      <c r="AR89" s="1007"/>
      <c r="AS89" s="1007"/>
      <c r="AT89" s="1007"/>
      <c r="AU89" s="1007"/>
      <c r="AV89" s="1007"/>
      <c r="AW89" s="1007"/>
      <c r="AX89" s="1007"/>
      <c r="AY89" s="1007"/>
      <c r="AZ89" s="1007"/>
      <c r="BA89" s="1007"/>
      <c r="BB89" s="1007"/>
      <c r="BC89" s="1007"/>
      <c r="BD89" s="1007"/>
    </row>
    <row r="90" spans="1:56" x14ac:dyDescent="0.2">
      <c r="A90" s="315"/>
      <c r="B90" s="315"/>
      <c r="C90" s="315"/>
      <c r="D90" s="315"/>
      <c r="E90" s="315"/>
      <c r="F90" s="315"/>
      <c r="G90" s="315"/>
      <c r="H90" s="315"/>
      <c r="I90" s="338"/>
      <c r="J90" s="338"/>
      <c r="K90" s="338"/>
      <c r="L90" s="338"/>
      <c r="M90" s="1007"/>
      <c r="N90" s="1007"/>
      <c r="O90" s="1007"/>
      <c r="P90" s="1007"/>
      <c r="Q90" s="1007"/>
      <c r="R90" s="1087"/>
      <c r="S90" s="1007"/>
      <c r="T90" s="1007"/>
      <c r="U90" s="1007"/>
      <c r="V90" s="1007"/>
      <c r="W90" s="1007"/>
      <c r="X90" s="1007"/>
      <c r="Y90" s="1007"/>
      <c r="Z90" s="1007"/>
      <c r="AA90" s="1007"/>
      <c r="AB90" s="1007"/>
      <c r="AC90" s="1007"/>
      <c r="AD90" s="1007"/>
      <c r="AE90" s="1007"/>
      <c r="AF90" s="1007"/>
      <c r="AG90" s="1007"/>
      <c r="AH90" s="1007"/>
      <c r="AI90" s="1007"/>
      <c r="AJ90" s="1007"/>
      <c r="AK90" s="1007"/>
      <c r="AL90" s="1007"/>
      <c r="AM90" s="1007"/>
      <c r="AN90" s="1007"/>
      <c r="AO90" s="1007"/>
      <c r="AP90" s="1007"/>
      <c r="AQ90" s="1007"/>
      <c r="AR90" s="1007"/>
      <c r="AS90" s="1007"/>
      <c r="AT90" s="1007"/>
      <c r="AU90" s="1007"/>
      <c r="AV90" s="1007"/>
      <c r="AW90" s="1007"/>
      <c r="AX90" s="1007"/>
      <c r="AY90" s="1007"/>
      <c r="AZ90" s="1007"/>
      <c r="BA90" s="1007"/>
      <c r="BB90" s="1007"/>
      <c r="BC90" s="1007"/>
      <c r="BD90" s="1007"/>
    </row>
    <row r="91" spans="1:56" x14ac:dyDescent="0.2">
      <c r="A91" s="315"/>
      <c r="B91" s="315"/>
      <c r="C91" s="315"/>
      <c r="D91" s="315"/>
      <c r="E91" s="315"/>
      <c r="F91" s="315"/>
      <c r="G91" s="315"/>
      <c r="H91" s="315"/>
      <c r="I91" s="338"/>
      <c r="J91" s="338"/>
      <c r="K91" s="338"/>
      <c r="L91" s="338"/>
      <c r="M91" s="1007"/>
      <c r="N91" s="1007"/>
      <c r="O91" s="1007"/>
      <c r="P91" s="1007"/>
      <c r="Q91" s="1007"/>
      <c r="R91" s="1087"/>
      <c r="S91" s="1007"/>
      <c r="T91" s="1007"/>
      <c r="U91" s="1007"/>
      <c r="V91" s="1007"/>
      <c r="W91" s="1007"/>
      <c r="X91" s="1007"/>
      <c r="Y91" s="1007"/>
      <c r="Z91" s="1007"/>
      <c r="AA91" s="1007"/>
      <c r="AB91" s="1007"/>
      <c r="AC91" s="1007"/>
      <c r="AD91" s="1007"/>
      <c r="AE91" s="1007"/>
      <c r="AF91" s="1007"/>
      <c r="AG91" s="1007"/>
      <c r="AH91" s="1007"/>
      <c r="AI91" s="1007"/>
      <c r="AJ91" s="1007"/>
      <c r="AK91" s="1007"/>
      <c r="AL91" s="1007"/>
      <c r="AM91" s="1007"/>
      <c r="AN91" s="1007"/>
      <c r="AO91" s="1007"/>
      <c r="AP91" s="1007"/>
      <c r="AQ91" s="1007"/>
      <c r="AR91" s="1007"/>
      <c r="AS91" s="1007"/>
      <c r="AT91" s="1007"/>
      <c r="AU91" s="1007"/>
      <c r="AV91" s="1007"/>
      <c r="AW91" s="1007"/>
      <c r="AX91" s="1007"/>
      <c r="AY91" s="1007"/>
      <c r="AZ91" s="1007"/>
      <c r="BA91" s="1007"/>
      <c r="BB91" s="1007"/>
      <c r="BC91" s="1007"/>
      <c r="BD91" s="1007"/>
    </row>
    <row r="92" spans="1:56" x14ac:dyDescent="0.2">
      <c r="A92" s="315"/>
      <c r="B92" s="315"/>
      <c r="C92" s="315"/>
      <c r="D92" s="315"/>
      <c r="E92" s="315"/>
      <c r="F92" s="315"/>
      <c r="G92" s="315"/>
      <c r="H92" s="315"/>
      <c r="I92" s="338"/>
      <c r="J92" s="338"/>
      <c r="K92" s="338"/>
      <c r="L92" s="338"/>
      <c r="M92" s="1007"/>
      <c r="N92" s="1007"/>
      <c r="O92" s="1007"/>
      <c r="P92" s="1007"/>
      <c r="Q92" s="1007"/>
      <c r="R92" s="1087"/>
      <c r="S92" s="1007"/>
      <c r="T92" s="1007"/>
      <c r="U92" s="1007"/>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7"/>
      <c r="AQ92" s="1007"/>
      <c r="AR92" s="1007"/>
      <c r="AS92" s="1007"/>
      <c r="AT92" s="1007"/>
      <c r="AU92" s="1007"/>
      <c r="AV92" s="1007"/>
      <c r="AW92" s="1007"/>
      <c r="AX92" s="1007"/>
      <c r="AY92" s="1007"/>
      <c r="AZ92" s="1007"/>
      <c r="BA92" s="1007"/>
      <c r="BB92" s="1007"/>
      <c r="BC92" s="1007"/>
      <c r="BD92" s="1007"/>
    </row>
    <row r="93" spans="1:56" x14ac:dyDescent="0.2">
      <c r="A93" s="315"/>
      <c r="B93" s="315"/>
      <c r="C93" s="315"/>
      <c r="D93" s="315"/>
      <c r="E93" s="315"/>
      <c r="F93" s="315"/>
      <c r="G93" s="315"/>
      <c r="H93" s="315"/>
      <c r="I93" s="338"/>
      <c r="J93" s="338"/>
      <c r="K93" s="338"/>
      <c r="L93" s="338"/>
      <c r="M93" s="1007"/>
      <c r="N93" s="1007"/>
      <c r="O93" s="1007"/>
      <c r="P93" s="1007"/>
      <c r="Q93" s="1007"/>
      <c r="R93" s="1087"/>
      <c r="S93" s="1007"/>
      <c r="T93" s="1007"/>
      <c r="U93" s="1007"/>
      <c r="V93" s="1007"/>
      <c r="W93" s="1007"/>
      <c r="X93" s="1007"/>
      <c r="Y93" s="1007"/>
      <c r="Z93" s="1007"/>
      <c r="AA93" s="1007"/>
      <c r="AB93" s="1007"/>
      <c r="AC93" s="1007"/>
      <c r="AD93" s="1007"/>
      <c r="AE93" s="1007"/>
      <c r="AF93" s="1007"/>
      <c r="AG93" s="1007"/>
      <c r="AH93" s="1007"/>
      <c r="AI93" s="1007"/>
      <c r="AJ93" s="1007"/>
      <c r="AK93" s="1007"/>
      <c r="AL93" s="1007"/>
      <c r="AM93" s="1007"/>
      <c r="AN93" s="1007"/>
      <c r="AO93" s="1007"/>
      <c r="AP93" s="1007"/>
      <c r="AQ93" s="1007"/>
      <c r="AR93" s="1007"/>
      <c r="AS93" s="1007"/>
      <c r="AT93" s="1007"/>
      <c r="AU93" s="1007"/>
      <c r="AV93" s="1007"/>
      <c r="AW93" s="1007"/>
      <c r="AX93" s="1007"/>
      <c r="AY93" s="1007"/>
      <c r="AZ93" s="1007"/>
      <c r="BA93" s="1007"/>
      <c r="BB93" s="1007"/>
      <c r="BC93" s="1007"/>
      <c r="BD93" s="1007"/>
    </row>
    <row r="94" spans="1:56" x14ac:dyDescent="0.2">
      <c r="A94" s="315"/>
      <c r="B94" s="315"/>
      <c r="C94" s="315"/>
      <c r="D94" s="315"/>
      <c r="E94" s="315"/>
      <c r="F94" s="315"/>
      <c r="G94" s="315"/>
      <c r="H94" s="315"/>
      <c r="I94" s="338"/>
      <c r="J94" s="338"/>
      <c r="K94" s="338"/>
      <c r="L94" s="338"/>
      <c r="M94" s="1007"/>
      <c r="N94" s="1007"/>
      <c r="O94" s="1007"/>
      <c r="P94" s="1007"/>
      <c r="Q94" s="1007"/>
      <c r="R94" s="1087"/>
      <c r="S94" s="1007"/>
      <c r="T94" s="1007"/>
      <c r="U94" s="1007"/>
      <c r="V94" s="1007"/>
      <c r="W94" s="1007"/>
      <c r="X94" s="1007"/>
      <c r="Y94" s="1007"/>
      <c r="Z94" s="1007"/>
      <c r="AA94" s="1007"/>
      <c r="AB94" s="1007"/>
      <c r="AC94" s="1007"/>
      <c r="AD94" s="1007"/>
      <c r="AE94" s="1007"/>
      <c r="AF94" s="1007"/>
      <c r="AG94" s="1007"/>
      <c r="AH94" s="1007"/>
      <c r="AI94" s="1007"/>
      <c r="AJ94" s="1007"/>
      <c r="AK94" s="1007"/>
      <c r="AL94" s="1007"/>
      <c r="AM94" s="1007"/>
      <c r="AN94" s="1007"/>
      <c r="AO94" s="1007"/>
      <c r="AP94" s="1007"/>
      <c r="AQ94" s="1007"/>
      <c r="AR94" s="1007"/>
      <c r="AS94" s="1007"/>
      <c r="AT94" s="1007"/>
      <c r="AU94" s="1007"/>
      <c r="AV94" s="1007"/>
      <c r="AW94" s="1007"/>
      <c r="AX94" s="1007"/>
      <c r="AY94" s="1007"/>
      <c r="AZ94" s="1007"/>
      <c r="BA94" s="1007"/>
      <c r="BB94" s="1007"/>
      <c r="BC94" s="1007"/>
      <c r="BD94" s="1007"/>
    </row>
    <row r="95" spans="1:56" x14ac:dyDescent="0.2">
      <c r="A95" s="315"/>
      <c r="B95" s="315"/>
      <c r="C95" s="315"/>
      <c r="D95" s="315"/>
      <c r="E95" s="315"/>
      <c r="F95" s="315"/>
      <c r="G95" s="315"/>
      <c r="H95" s="315"/>
      <c r="I95" s="338"/>
      <c r="J95" s="338"/>
      <c r="K95" s="338"/>
      <c r="L95" s="338"/>
      <c r="M95" s="1007"/>
      <c r="N95" s="1007"/>
      <c r="O95" s="1007"/>
      <c r="P95" s="1007"/>
      <c r="Q95" s="1007"/>
      <c r="R95" s="1087"/>
      <c r="S95" s="1007"/>
      <c r="T95" s="1007"/>
      <c r="U95" s="1007"/>
      <c r="V95" s="1007"/>
      <c r="W95" s="1007"/>
      <c r="X95" s="1007"/>
      <c r="Y95" s="1007"/>
      <c r="Z95" s="1007"/>
      <c r="AA95" s="1007"/>
      <c r="AB95" s="1007"/>
      <c r="AC95" s="1007"/>
      <c r="AD95" s="1007"/>
      <c r="AE95" s="1007"/>
      <c r="AF95" s="1007"/>
      <c r="AG95" s="1007"/>
      <c r="AH95" s="1007"/>
      <c r="AI95" s="1007"/>
      <c r="AJ95" s="1007"/>
      <c r="AK95" s="1007"/>
      <c r="AL95" s="1007"/>
      <c r="AM95" s="1007"/>
      <c r="AN95" s="1007"/>
      <c r="AO95" s="1007"/>
      <c r="AP95" s="1007"/>
      <c r="AQ95" s="1007"/>
      <c r="AR95" s="1007"/>
      <c r="AS95" s="1007"/>
      <c r="AT95" s="1007"/>
      <c r="AU95" s="1007"/>
      <c r="AV95" s="1007"/>
      <c r="AW95" s="1007"/>
      <c r="AX95" s="1007"/>
      <c r="AY95" s="1007"/>
      <c r="AZ95" s="1007"/>
      <c r="BA95" s="1007"/>
      <c r="BB95" s="1007"/>
      <c r="BC95" s="1007"/>
      <c r="BD95" s="1007"/>
    </row>
    <row r="96" spans="1:56" x14ac:dyDescent="0.2">
      <c r="A96" s="315"/>
      <c r="B96" s="315"/>
      <c r="C96" s="315"/>
      <c r="D96" s="315"/>
      <c r="E96" s="315"/>
      <c r="F96" s="315"/>
      <c r="G96" s="315"/>
      <c r="H96" s="315"/>
      <c r="I96" s="338"/>
      <c r="J96" s="338"/>
      <c r="K96" s="338"/>
      <c r="L96" s="338"/>
      <c r="M96" s="1007"/>
      <c r="N96" s="1007"/>
      <c r="O96" s="1007"/>
      <c r="P96" s="1007"/>
      <c r="Q96" s="1007"/>
      <c r="R96" s="1087"/>
      <c r="S96" s="1007"/>
      <c r="T96" s="1007"/>
      <c r="U96" s="1007"/>
      <c r="V96" s="1007"/>
      <c r="W96" s="1007"/>
      <c r="X96" s="1007"/>
      <c r="Y96" s="1007"/>
      <c r="Z96" s="1007"/>
      <c r="AA96" s="1007"/>
      <c r="AB96" s="1007"/>
      <c r="AC96" s="1007"/>
      <c r="AD96" s="1007"/>
      <c r="AE96" s="1007"/>
      <c r="AF96" s="1007"/>
      <c r="AG96" s="1007"/>
      <c r="AH96" s="1007"/>
      <c r="AI96" s="1007"/>
      <c r="AJ96" s="1007"/>
      <c r="AK96" s="1007"/>
      <c r="AL96" s="1007"/>
      <c r="AM96" s="1007"/>
      <c r="AN96" s="1007"/>
      <c r="AO96" s="1007"/>
      <c r="AP96" s="1007"/>
      <c r="AQ96" s="1007"/>
      <c r="AR96" s="1007"/>
      <c r="AS96" s="1007"/>
      <c r="AT96" s="1007"/>
      <c r="AU96" s="1007"/>
      <c r="AV96" s="1007"/>
      <c r="AW96" s="1007"/>
      <c r="AX96" s="1007"/>
      <c r="AY96" s="1007"/>
      <c r="AZ96" s="1007"/>
      <c r="BA96" s="1007"/>
      <c r="BB96" s="1007"/>
      <c r="BC96" s="1007"/>
      <c r="BD96" s="1007"/>
    </row>
    <row r="97" spans="1:56" x14ac:dyDescent="0.2">
      <c r="A97" s="315"/>
      <c r="B97" s="315"/>
      <c r="C97" s="315"/>
      <c r="D97" s="315"/>
      <c r="E97" s="315"/>
      <c r="F97" s="315"/>
      <c r="G97" s="315"/>
      <c r="H97" s="315"/>
      <c r="I97" s="338"/>
      <c r="J97" s="338"/>
      <c r="K97" s="338"/>
      <c r="L97" s="338"/>
      <c r="M97" s="1007"/>
      <c r="N97" s="1007"/>
      <c r="O97" s="1007"/>
      <c r="P97" s="1007"/>
      <c r="Q97" s="1007"/>
      <c r="R97" s="1087"/>
      <c r="S97" s="1007"/>
      <c r="T97" s="1007"/>
      <c r="U97" s="1007"/>
      <c r="V97" s="1007"/>
      <c r="W97" s="1007"/>
      <c r="X97" s="1007"/>
      <c r="Y97" s="1007"/>
      <c r="Z97" s="1007"/>
      <c r="AA97" s="1007"/>
      <c r="AB97" s="1007"/>
      <c r="AC97" s="1007"/>
      <c r="AD97" s="1007"/>
      <c r="AE97" s="1007"/>
      <c r="AF97" s="1007"/>
      <c r="AG97" s="1007"/>
      <c r="AH97" s="1007"/>
      <c r="AI97" s="1007"/>
      <c r="AJ97" s="1007"/>
      <c r="AK97" s="1007"/>
      <c r="AL97" s="1007"/>
      <c r="AM97" s="1007"/>
      <c r="AN97" s="1007"/>
      <c r="AO97" s="1007"/>
      <c r="AP97" s="1007"/>
      <c r="AQ97" s="1007"/>
      <c r="AR97" s="1007"/>
      <c r="AS97" s="1007"/>
      <c r="AT97" s="1007"/>
      <c r="AU97" s="1007"/>
      <c r="AV97" s="1007"/>
      <c r="AW97" s="1007"/>
      <c r="AX97" s="1007"/>
      <c r="AY97" s="1007"/>
      <c r="AZ97" s="1007"/>
      <c r="BA97" s="1007"/>
      <c r="BB97" s="1007"/>
      <c r="BC97" s="1007"/>
      <c r="BD97" s="1007"/>
    </row>
    <row r="98" spans="1:56" x14ac:dyDescent="0.2">
      <c r="A98" s="315"/>
      <c r="B98" s="315"/>
      <c r="C98" s="315"/>
      <c r="D98" s="315"/>
      <c r="E98" s="315"/>
      <c r="F98" s="315"/>
      <c r="G98" s="315"/>
      <c r="H98" s="315"/>
      <c r="I98" s="338"/>
      <c r="J98" s="338"/>
      <c r="K98" s="338"/>
      <c r="L98" s="338"/>
      <c r="M98" s="1007"/>
      <c r="N98" s="1007"/>
      <c r="O98" s="1007"/>
      <c r="P98" s="1007"/>
      <c r="Q98" s="1007"/>
      <c r="R98" s="1087"/>
      <c r="S98" s="1007"/>
      <c r="T98" s="1007"/>
      <c r="U98" s="1007"/>
      <c r="V98" s="1007"/>
      <c r="W98" s="1007"/>
      <c r="X98" s="1007"/>
      <c r="Y98" s="1007"/>
      <c r="Z98" s="1007"/>
      <c r="AA98" s="1007"/>
      <c r="AB98" s="1007"/>
      <c r="AC98" s="1007"/>
      <c r="AD98" s="1007"/>
      <c r="AE98" s="1007"/>
      <c r="AF98" s="1007"/>
      <c r="AG98" s="1007"/>
      <c r="AH98" s="1007"/>
      <c r="AI98" s="1007"/>
      <c r="AJ98" s="1007"/>
      <c r="AK98" s="1007"/>
      <c r="AL98" s="1007"/>
      <c r="AM98" s="1007"/>
      <c r="AN98" s="1007"/>
      <c r="AO98" s="1007"/>
      <c r="AP98" s="1007"/>
      <c r="AQ98" s="1007"/>
      <c r="AR98" s="1007"/>
      <c r="AS98" s="1007"/>
      <c r="AT98" s="1007"/>
      <c r="AU98" s="1007"/>
      <c r="AV98" s="1007"/>
      <c r="AW98" s="1007"/>
      <c r="AX98" s="1007"/>
      <c r="AY98" s="1007"/>
      <c r="AZ98" s="1007"/>
      <c r="BA98" s="1007"/>
      <c r="BB98" s="1007"/>
      <c r="BC98" s="1007"/>
      <c r="BD98" s="1007"/>
    </row>
    <row r="99" spans="1:56" x14ac:dyDescent="0.2">
      <c r="A99" s="315"/>
      <c r="B99" s="315"/>
      <c r="C99" s="315"/>
      <c r="D99" s="315"/>
      <c r="E99" s="315"/>
      <c r="F99" s="315"/>
      <c r="G99" s="315"/>
      <c r="H99" s="315"/>
      <c r="I99" s="338"/>
      <c r="J99" s="338"/>
      <c r="K99" s="338"/>
      <c r="L99" s="338"/>
      <c r="M99" s="1007"/>
      <c r="N99" s="1007"/>
      <c r="O99" s="1007"/>
      <c r="P99" s="1007"/>
      <c r="Q99" s="1007"/>
      <c r="R99" s="1087"/>
      <c r="S99" s="1007"/>
      <c r="T99" s="1007"/>
      <c r="U99" s="1007"/>
      <c r="V99" s="1007"/>
      <c r="W99" s="1007"/>
      <c r="X99" s="1007"/>
      <c r="Y99" s="1007"/>
      <c r="Z99" s="1007"/>
      <c r="AA99" s="1007"/>
      <c r="AB99" s="1007"/>
      <c r="AC99" s="1007"/>
      <c r="AD99" s="1007"/>
      <c r="AE99" s="1007"/>
      <c r="AF99" s="1007"/>
      <c r="AG99" s="1007"/>
      <c r="AH99" s="1007"/>
      <c r="AI99" s="1007"/>
      <c r="AJ99" s="1007"/>
      <c r="AK99" s="1007"/>
      <c r="AL99" s="1007"/>
      <c r="AM99" s="1007"/>
      <c r="AN99" s="1007"/>
      <c r="AO99" s="1007"/>
      <c r="AP99" s="1007"/>
      <c r="AQ99" s="1007"/>
      <c r="AR99" s="1007"/>
      <c r="AS99" s="1007"/>
      <c r="AT99" s="1007"/>
      <c r="AU99" s="1007"/>
      <c r="AV99" s="1007"/>
      <c r="AW99" s="1007"/>
      <c r="AX99" s="1007"/>
      <c r="AY99" s="1007"/>
      <c r="AZ99" s="1007"/>
      <c r="BA99" s="1007"/>
      <c r="BB99" s="1007"/>
      <c r="BC99" s="1007"/>
      <c r="BD99" s="1007"/>
    </row>
    <row r="100" spans="1:56" x14ac:dyDescent="0.2">
      <c r="A100" s="315"/>
      <c r="B100" s="315"/>
      <c r="C100" s="315"/>
      <c r="D100" s="315"/>
      <c r="E100" s="315"/>
      <c r="F100" s="315"/>
      <c r="G100" s="315"/>
      <c r="H100" s="315"/>
      <c r="I100" s="338"/>
      <c r="J100" s="338"/>
      <c r="K100" s="338"/>
      <c r="L100" s="338"/>
      <c r="M100" s="1007"/>
      <c r="N100" s="1007"/>
      <c r="O100" s="1007"/>
      <c r="P100" s="1007"/>
      <c r="Q100" s="1007"/>
      <c r="R100" s="1087"/>
      <c r="S100" s="1007"/>
      <c r="T100" s="1007"/>
      <c r="U100" s="1007"/>
      <c r="V100" s="1007"/>
      <c r="W100" s="1007"/>
      <c r="X100" s="1007"/>
      <c r="Y100" s="1007"/>
      <c r="Z100" s="1007"/>
      <c r="AA100" s="1007"/>
      <c r="AB100" s="1007"/>
      <c r="AC100" s="1007"/>
      <c r="AD100" s="1007"/>
      <c r="AE100" s="1007"/>
      <c r="AF100" s="1007"/>
      <c r="AG100" s="1007"/>
      <c r="AH100" s="1007"/>
      <c r="AI100" s="1007"/>
      <c r="AJ100" s="1007"/>
      <c r="AK100" s="1007"/>
      <c r="AL100" s="1007"/>
      <c r="AM100" s="1007"/>
      <c r="AN100" s="1007"/>
      <c r="AO100" s="1007"/>
      <c r="AP100" s="1007"/>
      <c r="AQ100" s="1007"/>
      <c r="AR100" s="1007"/>
      <c r="AS100" s="1007"/>
      <c r="AT100" s="1007"/>
      <c r="AU100" s="1007"/>
      <c r="AV100" s="1007"/>
      <c r="AW100" s="1007"/>
      <c r="AX100" s="1007"/>
      <c r="AY100" s="1007"/>
      <c r="AZ100" s="1007"/>
      <c r="BA100" s="1007"/>
      <c r="BB100" s="1007"/>
      <c r="BC100" s="1007"/>
      <c r="BD100" s="1007"/>
    </row>
    <row r="101" spans="1:56" x14ac:dyDescent="0.2">
      <c r="A101" s="315"/>
      <c r="B101" s="315"/>
      <c r="C101" s="315"/>
      <c r="D101" s="315"/>
      <c r="E101" s="315"/>
      <c r="F101" s="315"/>
      <c r="G101" s="315"/>
      <c r="H101" s="315"/>
      <c r="I101" s="338"/>
      <c r="J101" s="338"/>
      <c r="K101" s="338"/>
      <c r="L101" s="338"/>
      <c r="M101" s="1007"/>
      <c r="N101" s="1007"/>
      <c r="O101" s="1007"/>
      <c r="P101" s="1007"/>
      <c r="Q101" s="1007"/>
      <c r="R101" s="1087"/>
      <c r="S101" s="1007"/>
      <c r="T101" s="1007"/>
      <c r="U101" s="1007"/>
      <c r="V101" s="1007"/>
      <c r="W101" s="1007"/>
      <c r="X101" s="1007"/>
      <c r="Y101" s="1007"/>
      <c r="Z101" s="1007"/>
      <c r="AA101" s="1007"/>
      <c r="AB101" s="1007"/>
      <c r="AC101" s="1007"/>
      <c r="AD101" s="1007"/>
      <c r="AE101" s="1007"/>
      <c r="AF101" s="1007"/>
      <c r="AG101" s="1007"/>
      <c r="AH101" s="1007"/>
      <c r="AI101" s="1007"/>
      <c r="AJ101" s="1007"/>
      <c r="AK101" s="1007"/>
      <c r="AL101" s="1007"/>
      <c r="AM101" s="1007"/>
      <c r="AN101" s="1007"/>
      <c r="AO101" s="1007"/>
      <c r="AP101" s="1007"/>
      <c r="AQ101" s="1007"/>
      <c r="AR101" s="1007"/>
      <c r="AS101" s="1007"/>
      <c r="AT101" s="1007"/>
      <c r="AU101" s="1007"/>
      <c r="AV101" s="1007"/>
      <c r="AW101" s="1007"/>
      <c r="AX101" s="1007"/>
      <c r="AY101" s="1007"/>
      <c r="AZ101" s="1007"/>
      <c r="BA101" s="1007"/>
      <c r="BB101" s="1007"/>
      <c r="BC101" s="1007"/>
      <c r="BD101" s="1007"/>
    </row>
    <row r="102" spans="1:56" x14ac:dyDescent="0.2">
      <c r="A102" s="315"/>
      <c r="B102" s="315"/>
      <c r="C102" s="315"/>
      <c r="D102" s="315"/>
      <c r="E102" s="315"/>
      <c r="F102" s="315"/>
      <c r="G102" s="315"/>
      <c r="H102" s="315"/>
      <c r="I102" s="338"/>
      <c r="J102" s="338"/>
      <c r="K102" s="338"/>
      <c r="L102" s="338"/>
      <c r="M102" s="1007"/>
      <c r="N102" s="1007"/>
      <c r="O102" s="1007"/>
      <c r="P102" s="1007"/>
      <c r="Q102" s="1007"/>
      <c r="R102" s="1087"/>
      <c r="S102" s="1007"/>
      <c r="T102" s="1007"/>
      <c r="U102" s="1007"/>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07"/>
      <c r="AP102" s="1007"/>
      <c r="AQ102" s="1007"/>
      <c r="AR102" s="1007"/>
      <c r="AS102" s="1007"/>
      <c r="AT102" s="1007"/>
      <c r="AU102" s="1007"/>
      <c r="AV102" s="1007"/>
      <c r="AW102" s="1007"/>
      <c r="AX102" s="1007"/>
      <c r="AY102" s="1007"/>
      <c r="AZ102" s="1007"/>
      <c r="BA102" s="1007"/>
      <c r="BB102" s="1007"/>
      <c r="BC102" s="1007"/>
      <c r="BD102" s="1007"/>
    </row>
    <row r="103" spans="1:56" x14ac:dyDescent="0.2">
      <c r="A103" s="315"/>
      <c r="B103" s="315"/>
      <c r="C103" s="315"/>
      <c r="D103" s="315"/>
      <c r="E103" s="315"/>
      <c r="F103" s="315"/>
      <c r="G103" s="315"/>
      <c r="H103" s="315"/>
      <c r="I103" s="338"/>
      <c r="J103" s="338"/>
      <c r="K103" s="338"/>
      <c r="L103" s="338"/>
      <c r="M103" s="1007"/>
      <c r="N103" s="1007"/>
      <c r="O103" s="1007"/>
      <c r="P103" s="1007"/>
      <c r="Q103" s="1007"/>
      <c r="R103" s="1087"/>
      <c r="S103" s="1007"/>
      <c r="T103" s="1007"/>
      <c r="U103" s="1007"/>
      <c r="V103" s="1007"/>
      <c r="W103" s="1007"/>
      <c r="X103" s="1007"/>
      <c r="Y103" s="1007"/>
      <c r="Z103" s="1007"/>
      <c r="AA103" s="1007"/>
      <c r="AB103" s="1007"/>
      <c r="AC103" s="1007"/>
      <c r="AD103" s="1007"/>
      <c r="AE103" s="1007"/>
      <c r="AF103" s="1007"/>
      <c r="AG103" s="1007"/>
      <c r="AH103" s="1007"/>
      <c r="AI103" s="1007"/>
      <c r="AJ103" s="1007"/>
      <c r="AK103" s="1007"/>
      <c r="AL103" s="1007"/>
      <c r="AM103" s="1007"/>
      <c r="AN103" s="1007"/>
      <c r="AO103" s="1007"/>
      <c r="AP103" s="1007"/>
      <c r="AQ103" s="1007"/>
      <c r="AR103" s="1007"/>
      <c r="AS103" s="1007"/>
      <c r="AT103" s="1007"/>
      <c r="AU103" s="1007"/>
      <c r="AV103" s="1007"/>
      <c r="AW103" s="1007"/>
      <c r="AX103" s="1007"/>
      <c r="AY103" s="1007"/>
      <c r="AZ103" s="1007"/>
      <c r="BA103" s="1007"/>
      <c r="BB103" s="1007"/>
      <c r="BC103" s="1007"/>
      <c r="BD103" s="1007"/>
    </row>
    <row r="104" spans="1:56" x14ac:dyDescent="0.2">
      <c r="A104" s="315"/>
      <c r="B104" s="315"/>
      <c r="C104" s="315"/>
      <c r="D104" s="315"/>
      <c r="E104" s="315"/>
      <c r="F104" s="315"/>
      <c r="G104" s="315"/>
      <c r="H104" s="315"/>
      <c r="I104" s="338"/>
      <c r="J104" s="338"/>
      <c r="K104" s="338"/>
      <c r="L104" s="338"/>
      <c r="M104" s="1007"/>
      <c r="N104" s="1007"/>
      <c r="O104" s="1007"/>
      <c r="P104" s="1007"/>
      <c r="Q104" s="1007"/>
      <c r="R104" s="1087"/>
      <c r="S104" s="1007"/>
      <c r="T104" s="1007"/>
      <c r="U104" s="1007"/>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7"/>
      <c r="AQ104" s="1007"/>
      <c r="AR104" s="1007"/>
      <c r="AS104" s="1007"/>
      <c r="AT104" s="1007"/>
      <c r="AU104" s="1007"/>
      <c r="AV104" s="1007"/>
      <c r="AW104" s="1007"/>
      <c r="AX104" s="1007"/>
      <c r="AY104" s="1007"/>
      <c r="AZ104" s="1007"/>
      <c r="BA104" s="1007"/>
      <c r="BB104" s="1007"/>
      <c r="BC104" s="1007"/>
      <c r="BD104" s="1007"/>
    </row>
    <row r="105" spans="1:56" x14ac:dyDescent="0.2">
      <c r="A105" s="315"/>
      <c r="B105" s="315"/>
      <c r="C105" s="315"/>
      <c r="D105" s="315"/>
      <c r="E105" s="315"/>
      <c r="F105" s="315"/>
      <c r="G105" s="315"/>
      <c r="H105" s="315"/>
      <c r="I105" s="338"/>
      <c r="J105" s="338"/>
      <c r="K105" s="338"/>
      <c r="L105" s="338"/>
      <c r="M105" s="1007"/>
      <c r="N105" s="1007"/>
      <c r="O105" s="1007"/>
      <c r="P105" s="1007"/>
      <c r="Q105" s="1007"/>
      <c r="R105" s="1087"/>
      <c r="S105" s="1007"/>
      <c r="T105" s="1007"/>
      <c r="U105" s="1007"/>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7"/>
      <c r="AQ105" s="1007"/>
      <c r="AR105" s="1007"/>
      <c r="AS105" s="1007"/>
      <c r="AT105" s="1007"/>
      <c r="AU105" s="1007"/>
      <c r="AV105" s="1007"/>
      <c r="AW105" s="1007"/>
      <c r="AX105" s="1007"/>
      <c r="AY105" s="1007"/>
      <c r="AZ105" s="1007"/>
      <c r="BA105" s="1007"/>
      <c r="BB105" s="1007"/>
      <c r="BC105" s="1007"/>
      <c r="BD105" s="1007"/>
    </row>
    <row r="106" spans="1:56" x14ac:dyDescent="0.2">
      <c r="A106" s="315"/>
      <c r="B106" s="315"/>
      <c r="C106" s="315"/>
      <c r="D106" s="315"/>
      <c r="E106" s="315"/>
      <c r="F106" s="315"/>
      <c r="G106" s="315"/>
      <c r="H106" s="315"/>
      <c r="I106" s="338"/>
      <c r="J106" s="338"/>
      <c r="K106" s="338"/>
      <c r="L106" s="338"/>
      <c r="M106" s="1007"/>
      <c r="N106" s="1007"/>
      <c r="O106" s="1007"/>
      <c r="P106" s="1007"/>
      <c r="Q106" s="1007"/>
      <c r="R106" s="1087"/>
      <c r="S106" s="1007"/>
      <c r="T106" s="1007"/>
      <c r="U106" s="1007"/>
      <c r="V106" s="1007"/>
      <c r="W106" s="1007"/>
      <c r="X106" s="1007"/>
      <c r="Y106" s="1007"/>
      <c r="Z106" s="1007"/>
      <c r="AA106" s="1007"/>
      <c r="AB106" s="1007"/>
      <c r="AC106" s="1007"/>
      <c r="AD106" s="1007"/>
      <c r="AE106" s="1007"/>
      <c r="AF106" s="1007"/>
      <c r="AG106" s="1007"/>
      <c r="AH106" s="1007"/>
      <c r="AI106" s="1007"/>
      <c r="AJ106" s="1007"/>
      <c r="AK106" s="1007"/>
      <c r="AL106" s="1007"/>
      <c r="AM106" s="1007"/>
      <c r="AN106" s="1007"/>
      <c r="AO106" s="1007"/>
      <c r="AP106" s="1007"/>
      <c r="AQ106" s="1007"/>
      <c r="AR106" s="1007"/>
      <c r="AS106" s="1007"/>
      <c r="AT106" s="1007"/>
      <c r="AU106" s="1007"/>
      <c r="AV106" s="1007"/>
      <c r="AW106" s="1007"/>
      <c r="AX106" s="1007"/>
      <c r="AY106" s="1007"/>
      <c r="AZ106" s="1007"/>
      <c r="BA106" s="1007"/>
      <c r="BB106" s="1007"/>
      <c r="BC106" s="1007"/>
      <c r="BD106" s="1007"/>
    </row>
    <row r="107" spans="1:56" x14ac:dyDescent="0.2">
      <c r="A107" s="315"/>
      <c r="B107" s="315"/>
      <c r="C107" s="315"/>
      <c r="D107" s="315"/>
      <c r="E107" s="315"/>
      <c r="F107" s="315"/>
      <c r="G107" s="315"/>
      <c r="H107" s="315"/>
      <c r="I107" s="338"/>
      <c r="J107" s="338"/>
      <c r="K107" s="338"/>
      <c r="L107" s="338"/>
      <c r="M107" s="1007"/>
      <c r="N107" s="1007"/>
      <c r="O107" s="1007"/>
      <c r="P107" s="1007"/>
      <c r="Q107" s="1007"/>
      <c r="R107" s="1087"/>
      <c r="S107" s="1007"/>
      <c r="T107" s="1007"/>
      <c r="U107" s="1007"/>
      <c r="V107" s="1007"/>
      <c r="W107" s="1007"/>
      <c r="X107" s="1007"/>
      <c r="Y107" s="1007"/>
      <c r="Z107" s="1007"/>
      <c r="AA107" s="1007"/>
      <c r="AB107" s="1007"/>
      <c r="AC107" s="1007"/>
      <c r="AD107" s="1007"/>
      <c r="AE107" s="1007"/>
      <c r="AF107" s="1007"/>
      <c r="AG107" s="1007"/>
      <c r="AH107" s="1007"/>
      <c r="AI107" s="1007"/>
      <c r="AJ107" s="1007"/>
      <c r="AK107" s="1007"/>
      <c r="AL107" s="1007"/>
      <c r="AM107" s="1007"/>
      <c r="AN107" s="1007"/>
      <c r="AO107" s="1007"/>
      <c r="AP107" s="1007"/>
      <c r="AQ107" s="1007"/>
      <c r="AR107" s="1007"/>
      <c r="AS107" s="1007"/>
      <c r="AT107" s="1007"/>
      <c r="AU107" s="1007"/>
      <c r="AV107" s="1007"/>
      <c r="AW107" s="1007"/>
      <c r="AX107" s="1007"/>
      <c r="AY107" s="1007"/>
      <c r="AZ107" s="1007"/>
      <c r="BA107" s="1007"/>
      <c r="BB107" s="1007"/>
      <c r="BC107" s="1007"/>
      <c r="BD107" s="1007"/>
    </row>
    <row r="108" spans="1:56" x14ac:dyDescent="0.2">
      <c r="A108" s="315"/>
      <c r="B108" s="315"/>
      <c r="C108" s="315"/>
      <c r="D108" s="315"/>
      <c r="E108" s="315"/>
      <c r="F108" s="315"/>
      <c r="G108" s="315"/>
      <c r="H108" s="315"/>
      <c r="I108" s="338"/>
      <c r="J108" s="338"/>
      <c r="K108" s="338"/>
      <c r="L108" s="338"/>
      <c r="M108" s="1007"/>
      <c r="N108" s="1007"/>
      <c r="O108" s="1007"/>
      <c r="P108" s="1007"/>
      <c r="Q108" s="1007"/>
      <c r="R108" s="1087"/>
      <c r="S108" s="1007"/>
      <c r="T108" s="1007"/>
      <c r="U108" s="1007"/>
      <c r="V108" s="1007"/>
      <c r="W108" s="1007"/>
      <c r="X108" s="1007"/>
      <c r="Y108" s="1007"/>
      <c r="Z108" s="1007"/>
      <c r="AA108" s="1007"/>
      <c r="AB108" s="1007"/>
      <c r="AC108" s="1007"/>
      <c r="AD108" s="1007"/>
      <c r="AE108" s="1007"/>
      <c r="AF108" s="1007"/>
      <c r="AG108" s="1007"/>
      <c r="AH108" s="1007"/>
      <c r="AI108" s="1007"/>
      <c r="AJ108" s="1007"/>
      <c r="AK108" s="1007"/>
      <c r="AL108" s="1007"/>
      <c r="AM108" s="1007"/>
      <c r="AN108" s="1007"/>
      <c r="AO108" s="1007"/>
      <c r="AP108" s="1007"/>
      <c r="AQ108" s="1007"/>
      <c r="AR108" s="1007"/>
      <c r="AS108" s="1007"/>
      <c r="AT108" s="1007"/>
      <c r="AU108" s="1007"/>
      <c r="AV108" s="1007"/>
      <c r="AW108" s="1007"/>
      <c r="AX108" s="1007"/>
      <c r="AY108" s="1007"/>
      <c r="AZ108" s="1007"/>
      <c r="BA108" s="1007"/>
      <c r="BB108" s="1007"/>
      <c r="BC108" s="1007"/>
      <c r="BD108" s="1007"/>
    </row>
    <row r="109" spans="1:56" x14ac:dyDescent="0.2">
      <c r="A109" s="315"/>
      <c r="B109" s="315"/>
      <c r="C109" s="315"/>
      <c r="D109" s="315"/>
      <c r="E109" s="315"/>
      <c r="F109" s="315"/>
      <c r="G109" s="315"/>
      <c r="H109" s="315"/>
      <c r="I109" s="338"/>
      <c r="J109" s="338"/>
      <c r="K109" s="338"/>
      <c r="L109" s="338"/>
      <c r="M109" s="1007"/>
      <c r="N109" s="1007"/>
      <c r="O109" s="1007"/>
      <c r="P109" s="1007"/>
      <c r="Q109" s="1007"/>
      <c r="R109" s="1087"/>
      <c r="S109" s="1007"/>
      <c r="T109" s="1007"/>
      <c r="U109" s="1007"/>
      <c r="V109" s="1007"/>
      <c r="W109" s="1007"/>
      <c r="X109" s="1007"/>
      <c r="Y109" s="1007"/>
      <c r="Z109" s="1007"/>
      <c r="AA109" s="1007"/>
      <c r="AB109" s="1007"/>
      <c r="AC109" s="1007"/>
      <c r="AD109" s="1007"/>
      <c r="AE109" s="1007"/>
      <c r="AF109" s="1007"/>
      <c r="AG109" s="1007"/>
      <c r="AH109" s="1007"/>
      <c r="AI109" s="1007"/>
      <c r="AJ109" s="1007"/>
      <c r="AK109" s="1007"/>
      <c r="AL109" s="1007"/>
      <c r="AM109" s="1007"/>
      <c r="AN109" s="1007"/>
      <c r="AO109" s="1007"/>
      <c r="AP109" s="1007"/>
      <c r="AQ109" s="1007"/>
      <c r="AR109" s="1007"/>
      <c r="AS109" s="1007"/>
      <c r="AT109" s="1007"/>
      <c r="AU109" s="1007"/>
      <c r="AV109" s="1007"/>
      <c r="AW109" s="1007"/>
      <c r="AX109" s="1007"/>
      <c r="AY109" s="1007"/>
      <c r="AZ109" s="1007"/>
      <c r="BA109" s="1007"/>
      <c r="BB109" s="1007"/>
      <c r="BC109" s="1007"/>
      <c r="BD109" s="1007"/>
    </row>
    <row r="110" spans="1:56" x14ac:dyDescent="0.2">
      <c r="A110" s="315"/>
      <c r="B110" s="315"/>
      <c r="C110" s="315"/>
      <c r="D110" s="315"/>
      <c r="E110" s="315"/>
      <c r="F110" s="315"/>
      <c r="G110" s="315"/>
      <c r="H110" s="315"/>
      <c r="I110" s="338"/>
      <c r="J110" s="338"/>
      <c r="K110" s="338"/>
      <c r="L110" s="338"/>
      <c r="M110" s="1007"/>
      <c r="N110" s="1007"/>
      <c r="O110" s="1007"/>
      <c r="P110" s="1007"/>
      <c r="Q110" s="1007"/>
      <c r="R110" s="1087"/>
      <c r="S110" s="1007"/>
      <c r="T110" s="1007"/>
      <c r="U110" s="1007"/>
      <c r="V110" s="1007"/>
      <c r="W110" s="1007"/>
      <c r="X110" s="1007"/>
      <c r="Y110" s="1007"/>
      <c r="Z110" s="1007"/>
      <c r="AA110" s="1007"/>
      <c r="AB110" s="1007"/>
      <c r="AC110" s="1007"/>
      <c r="AD110" s="1007"/>
      <c r="AE110" s="1007"/>
      <c r="AF110" s="1007"/>
      <c r="AG110" s="1007"/>
      <c r="AH110" s="1007"/>
      <c r="AI110" s="1007"/>
      <c r="AJ110" s="1007"/>
      <c r="AK110" s="1007"/>
      <c r="AL110" s="1007"/>
      <c r="AM110" s="1007"/>
      <c r="AN110" s="1007"/>
      <c r="AO110" s="1007"/>
      <c r="AP110" s="1007"/>
      <c r="AQ110" s="1007"/>
      <c r="AR110" s="1007"/>
      <c r="AS110" s="1007"/>
      <c r="AT110" s="1007"/>
      <c r="AU110" s="1007"/>
      <c r="AV110" s="1007"/>
      <c r="AW110" s="1007"/>
      <c r="AX110" s="1007"/>
      <c r="AY110" s="1007"/>
      <c r="AZ110" s="1007"/>
      <c r="BA110" s="1007"/>
      <c r="BB110" s="1007"/>
      <c r="BC110" s="1007"/>
      <c r="BD110" s="1007"/>
    </row>
    <row r="111" spans="1:56" x14ac:dyDescent="0.2">
      <c r="A111" s="315"/>
      <c r="B111" s="315"/>
      <c r="C111" s="315"/>
      <c r="D111" s="315"/>
      <c r="E111" s="315"/>
      <c r="F111" s="315"/>
      <c r="G111" s="315"/>
      <c r="H111" s="315"/>
      <c r="I111" s="338"/>
      <c r="J111" s="338"/>
      <c r="K111" s="338"/>
      <c r="L111" s="338"/>
      <c r="M111" s="1007"/>
      <c r="N111" s="1007"/>
      <c r="O111" s="1007"/>
      <c r="P111" s="1007"/>
      <c r="Q111" s="1007"/>
      <c r="R111" s="1087"/>
      <c r="S111" s="1007"/>
      <c r="T111" s="1007"/>
      <c r="U111" s="1007"/>
      <c r="V111" s="1007"/>
      <c r="W111" s="1007"/>
      <c r="X111" s="1007"/>
      <c r="Y111" s="1007"/>
      <c r="Z111" s="1007"/>
      <c r="AA111" s="1007"/>
      <c r="AB111" s="1007"/>
      <c r="AC111" s="1007"/>
      <c r="AD111" s="1007"/>
      <c r="AE111" s="1007"/>
      <c r="AF111" s="1007"/>
      <c r="AG111" s="1007"/>
      <c r="AH111" s="1007"/>
      <c r="AI111" s="1007"/>
      <c r="AJ111" s="1007"/>
      <c r="AK111" s="1007"/>
      <c r="AL111" s="1007"/>
      <c r="AM111" s="1007"/>
      <c r="AN111" s="1007"/>
      <c r="AO111" s="1007"/>
      <c r="AP111" s="1007"/>
      <c r="AQ111" s="1007"/>
      <c r="AR111" s="1007"/>
      <c r="AS111" s="1007"/>
      <c r="AT111" s="1007"/>
      <c r="AU111" s="1007"/>
      <c r="AV111" s="1007"/>
      <c r="AW111" s="1007"/>
      <c r="AX111" s="1007"/>
      <c r="AY111" s="1007"/>
      <c r="AZ111" s="1007"/>
      <c r="BA111" s="1007"/>
      <c r="BB111" s="1007"/>
      <c r="BC111" s="1007"/>
      <c r="BD111" s="1007"/>
    </row>
    <row r="112" spans="1:56" x14ac:dyDescent="0.2">
      <c r="A112" s="315"/>
      <c r="B112" s="315"/>
      <c r="C112" s="315"/>
      <c r="D112" s="315"/>
      <c r="E112" s="315"/>
      <c r="F112" s="315"/>
      <c r="G112" s="315"/>
      <c r="H112" s="315"/>
      <c r="I112" s="338"/>
      <c r="J112" s="338"/>
      <c r="K112" s="338"/>
      <c r="L112" s="338"/>
      <c r="M112" s="1007"/>
      <c r="N112" s="1007"/>
      <c r="O112" s="1007"/>
      <c r="P112" s="1007"/>
      <c r="Q112" s="1007"/>
      <c r="R112" s="1087"/>
      <c r="S112" s="1007"/>
      <c r="T112" s="1007"/>
      <c r="U112" s="1007"/>
      <c r="V112" s="1007"/>
      <c r="W112" s="1007"/>
      <c r="X112" s="1007"/>
      <c r="Y112" s="1007"/>
      <c r="Z112" s="1007"/>
      <c r="AA112" s="1007"/>
      <c r="AB112" s="1007"/>
      <c r="AC112" s="1007"/>
      <c r="AD112" s="1007"/>
      <c r="AE112" s="1007"/>
      <c r="AF112" s="1007"/>
      <c r="AG112" s="1007"/>
      <c r="AH112" s="1007"/>
      <c r="AI112" s="1007"/>
      <c r="AJ112" s="1007"/>
      <c r="AK112" s="1007"/>
      <c r="AL112" s="1007"/>
      <c r="AM112" s="1007"/>
      <c r="AN112" s="1007"/>
      <c r="AO112" s="1007"/>
      <c r="AP112" s="1007"/>
      <c r="AQ112" s="1007"/>
      <c r="AR112" s="1007"/>
      <c r="AS112" s="1007"/>
      <c r="AT112" s="1007"/>
      <c r="AU112" s="1007"/>
      <c r="AV112" s="1007"/>
      <c r="AW112" s="1007"/>
      <c r="AX112" s="1007"/>
      <c r="AY112" s="1007"/>
      <c r="AZ112" s="1007"/>
      <c r="BA112" s="1007"/>
      <c r="BB112" s="1007"/>
      <c r="BC112" s="1007"/>
      <c r="BD112" s="1007"/>
    </row>
    <row r="113" spans="1:56" x14ac:dyDescent="0.2">
      <c r="A113" s="315"/>
      <c r="B113" s="315"/>
      <c r="C113" s="315"/>
      <c r="D113" s="315"/>
      <c r="E113" s="315"/>
      <c r="F113" s="315"/>
      <c r="G113" s="315"/>
      <c r="H113" s="315"/>
      <c r="I113" s="338"/>
      <c r="J113" s="338"/>
      <c r="K113" s="338"/>
      <c r="L113" s="338"/>
      <c r="M113" s="1007"/>
      <c r="N113" s="1007"/>
      <c r="O113" s="1007"/>
      <c r="P113" s="1007"/>
      <c r="Q113" s="1007"/>
      <c r="R113" s="1087"/>
      <c r="S113" s="1007"/>
      <c r="T113" s="1007"/>
      <c r="U113" s="1007"/>
      <c r="V113" s="1007"/>
      <c r="W113" s="1007"/>
      <c r="X113" s="1007"/>
      <c r="Y113" s="1007"/>
      <c r="Z113" s="1007"/>
      <c r="AA113" s="1007"/>
      <c r="AB113" s="1007"/>
      <c r="AC113" s="1007"/>
      <c r="AD113" s="1007"/>
      <c r="AE113" s="1007"/>
      <c r="AF113" s="1007"/>
      <c r="AG113" s="1007"/>
      <c r="AH113" s="1007"/>
      <c r="AI113" s="1007"/>
      <c r="AJ113" s="1007"/>
      <c r="AK113" s="1007"/>
      <c r="AL113" s="1007"/>
      <c r="AM113" s="1007"/>
      <c r="AN113" s="1007"/>
      <c r="AO113" s="1007"/>
      <c r="AP113" s="1007"/>
      <c r="AQ113" s="1007"/>
      <c r="AR113" s="1007"/>
      <c r="AS113" s="1007"/>
      <c r="AT113" s="1007"/>
      <c r="AU113" s="1007"/>
      <c r="AV113" s="1007"/>
      <c r="AW113" s="1007"/>
      <c r="AX113" s="1007"/>
      <c r="AY113" s="1007"/>
      <c r="AZ113" s="1007"/>
      <c r="BA113" s="1007"/>
      <c r="BB113" s="1007"/>
      <c r="BC113" s="1007"/>
      <c r="BD113" s="1007"/>
    </row>
    <row r="114" spans="1:56" x14ac:dyDescent="0.2">
      <c r="A114" s="315"/>
      <c r="B114" s="315"/>
      <c r="C114" s="315"/>
      <c r="D114" s="315"/>
      <c r="E114" s="315"/>
      <c r="F114" s="315"/>
      <c r="G114" s="315"/>
      <c r="H114" s="315"/>
      <c r="I114" s="338"/>
      <c r="J114" s="338"/>
      <c r="K114" s="338"/>
      <c r="L114" s="338"/>
      <c r="M114" s="1007"/>
      <c r="N114" s="1007"/>
      <c r="O114" s="1007"/>
      <c r="P114" s="1007"/>
      <c r="Q114" s="1007"/>
      <c r="R114" s="1087"/>
      <c r="S114" s="1007"/>
      <c r="T114" s="1007"/>
      <c r="U114" s="1007"/>
      <c r="V114" s="1007"/>
      <c r="W114" s="1007"/>
      <c r="X114" s="1007"/>
      <c r="Y114" s="1007"/>
      <c r="Z114" s="1007"/>
      <c r="AA114" s="1007"/>
      <c r="AB114" s="1007"/>
      <c r="AC114" s="1007"/>
      <c r="AD114" s="1007"/>
      <c r="AE114" s="1007"/>
      <c r="AF114" s="1007"/>
      <c r="AG114" s="1007"/>
      <c r="AH114" s="1007"/>
      <c r="AI114" s="1007"/>
      <c r="AJ114" s="1007"/>
      <c r="AK114" s="1007"/>
      <c r="AL114" s="1007"/>
      <c r="AM114" s="1007"/>
      <c r="AN114" s="1007"/>
      <c r="AO114" s="1007"/>
      <c r="AP114" s="1007"/>
      <c r="AQ114" s="1007"/>
      <c r="AR114" s="1007"/>
      <c r="AS114" s="1007"/>
      <c r="AT114" s="1007"/>
      <c r="AU114" s="1007"/>
      <c r="AV114" s="1007"/>
      <c r="AW114" s="1007"/>
      <c r="AX114" s="1007"/>
      <c r="AY114" s="1007"/>
      <c r="AZ114" s="1007"/>
      <c r="BA114" s="1007"/>
      <c r="BB114" s="1007"/>
      <c r="BC114" s="1007"/>
      <c r="BD114" s="1007"/>
    </row>
    <row r="115" spans="1:56" x14ac:dyDescent="0.2">
      <c r="A115" s="315"/>
      <c r="B115" s="315"/>
      <c r="C115" s="315"/>
      <c r="D115" s="315"/>
      <c r="E115" s="315"/>
      <c r="F115" s="315"/>
      <c r="G115" s="315"/>
      <c r="H115" s="315"/>
      <c r="I115" s="338"/>
      <c r="J115" s="338"/>
      <c r="K115" s="338"/>
      <c r="L115" s="338"/>
      <c r="M115" s="1007"/>
      <c r="N115" s="1007"/>
      <c r="O115" s="1007"/>
      <c r="P115" s="1007"/>
      <c r="Q115" s="1007"/>
      <c r="R115" s="1087"/>
      <c r="S115" s="1007"/>
      <c r="T115" s="1007"/>
      <c r="U115" s="1007"/>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07"/>
      <c r="AP115" s="1007"/>
      <c r="AQ115" s="1007"/>
      <c r="AR115" s="1007"/>
      <c r="AS115" s="1007"/>
      <c r="AT115" s="1007"/>
      <c r="AU115" s="1007"/>
      <c r="AV115" s="1007"/>
      <c r="AW115" s="1007"/>
      <c r="AX115" s="1007"/>
      <c r="AY115" s="1007"/>
      <c r="AZ115" s="1007"/>
      <c r="BA115" s="1007"/>
      <c r="BB115" s="1007"/>
      <c r="BC115" s="1007"/>
      <c r="BD115" s="1007"/>
    </row>
    <row r="116" spans="1:56" x14ac:dyDescent="0.2">
      <c r="A116" s="315"/>
      <c r="B116" s="315"/>
      <c r="C116" s="315"/>
      <c r="D116" s="315"/>
      <c r="E116" s="315"/>
      <c r="F116" s="315"/>
      <c r="G116" s="315"/>
      <c r="H116" s="315"/>
      <c r="I116" s="338"/>
      <c r="J116" s="338"/>
      <c r="K116" s="338"/>
      <c r="L116" s="338"/>
      <c r="M116" s="1007"/>
      <c r="N116" s="1007"/>
      <c r="O116" s="1007"/>
      <c r="P116" s="1007"/>
      <c r="Q116" s="1007"/>
      <c r="R116" s="1087"/>
      <c r="S116" s="1007"/>
      <c r="T116" s="1007"/>
      <c r="U116" s="1007"/>
      <c r="V116" s="1007"/>
      <c r="W116" s="1007"/>
      <c r="X116" s="1007"/>
      <c r="Y116" s="1007"/>
      <c r="Z116" s="1007"/>
      <c r="AA116" s="1007"/>
      <c r="AB116" s="1007"/>
      <c r="AC116" s="1007"/>
      <c r="AD116" s="1007"/>
      <c r="AE116" s="1007"/>
      <c r="AF116" s="1007"/>
      <c r="AG116" s="1007"/>
      <c r="AH116" s="1007"/>
      <c r="AI116" s="1007"/>
      <c r="AJ116" s="1007"/>
      <c r="AK116" s="1007"/>
      <c r="AL116" s="1007"/>
      <c r="AM116" s="1007"/>
      <c r="AN116" s="1007"/>
      <c r="AO116" s="1007"/>
      <c r="AP116" s="1007"/>
      <c r="AQ116" s="1007"/>
      <c r="AR116" s="1007"/>
      <c r="AS116" s="1007"/>
      <c r="AT116" s="1007"/>
      <c r="AU116" s="1007"/>
      <c r="AV116" s="1007"/>
      <c r="AW116" s="1007"/>
      <c r="AX116" s="1007"/>
      <c r="AY116" s="1007"/>
      <c r="AZ116" s="1007"/>
      <c r="BA116" s="1007"/>
      <c r="BB116" s="1007"/>
      <c r="BC116" s="1007"/>
      <c r="BD116" s="1007"/>
    </row>
    <row r="117" spans="1:56" x14ac:dyDescent="0.2">
      <c r="A117" s="315"/>
      <c r="B117" s="315"/>
      <c r="C117" s="315"/>
      <c r="D117" s="315"/>
      <c r="E117" s="315"/>
      <c r="F117" s="315"/>
      <c r="G117" s="315"/>
      <c r="H117" s="315"/>
      <c r="I117" s="338"/>
      <c r="J117" s="338"/>
      <c r="K117" s="338"/>
      <c r="L117" s="338"/>
      <c r="M117" s="1007"/>
      <c r="N117" s="1007"/>
      <c r="O117" s="1007"/>
      <c r="P117" s="1007"/>
      <c r="Q117" s="1007"/>
      <c r="R117" s="1087"/>
      <c r="S117" s="1007"/>
      <c r="T117" s="1007"/>
      <c r="U117" s="1007"/>
      <c r="V117" s="1007"/>
      <c r="W117" s="1007"/>
      <c r="X117" s="1007"/>
      <c r="Y117" s="1007"/>
      <c r="Z117" s="1007"/>
      <c r="AA117" s="1007"/>
      <c r="AB117" s="1007"/>
      <c r="AC117" s="1007"/>
      <c r="AD117" s="1007"/>
      <c r="AE117" s="1007"/>
      <c r="AF117" s="1007"/>
      <c r="AG117" s="1007"/>
      <c r="AH117" s="1007"/>
      <c r="AI117" s="1007"/>
      <c r="AJ117" s="1007"/>
      <c r="AK117" s="1007"/>
      <c r="AL117" s="1007"/>
      <c r="AM117" s="1007"/>
      <c r="AN117" s="1007"/>
      <c r="AO117" s="1007"/>
      <c r="AP117" s="1007"/>
      <c r="AQ117" s="1007"/>
      <c r="AR117" s="1007"/>
      <c r="AS117" s="1007"/>
      <c r="AT117" s="1007"/>
      <c r="AU117" s="1007"/>
      <c r="AV117" s="1007"/>
      <c r="AW117" s="1007"/>
      <c r="AX117" s="1007"/>
      <c r="AY117" s="1007"/>
      <c r="AZ117" s="1007"/>
      <c r="BA117" s="1007"/>
      <c r="BB117" s="1007"/>
      <c r="BC117" s="1007"/>
      <c r="BD117" s="1007"/>
    </row>
    <row r="118" spans="1:56" x14ac:dyDescent="0.2">
      <c r="A118" s="315"/>
      <c r="B118" s="315"/>
      <c r="C118" s="315"/>
      <c r="D118" s="315"/>
      <c r="E118" s="315"/>
      <c r="F118" s="315"/>
      <c r="G118" s="315"/>
      <c r="H118" s="315"/>
      <c r="I118" s="338"/>
      <c r="J118" s="338"/>
      <c r="K118" s="338"/>
      <c r="L118" s="338"/>
      <c r="M118" s="1007"/>
      <c r="N118" s="1007"/>
      <c r="O118" s="1007"/>
      <c r="P118" s="1007"/>
      <c r="Q118" s="1007"/>
      <c r="R118" s="1087"/>
      <c r="S118" s="1007"/>
      <c r="T118" s="1007"/>
      <c r="U118" s="1007"/>
      <c r="V118" s="1007"/>
      <c r="W118" s="1007"/>
      <c r="X118" s="1007"/>
      <c r="Y118" s="1007"/>
      <c r="Z118" s="1007"/>
      <c r="AA118" s="1007"/>
      <c r="AB118" s="1007"/>
      <c r="AC118" s="1007"/>
      <c r="AD118" s="1007"/>
      <c r="AE118" s="1007"/>
      <c r="AF118" s="1007"/>
      <c r="AG118" s="1007"/>
      <c r="AH118" s="1007"/>
      <c r="AI118" s="1007"/>
      <c r="AJ118" s="1007"/>
      <c r="AK118" s="1007"/>
      <c r="AL118" s="1007"/>
      <c r="AM118" s="1007"/>
      <c r="AN118" s="1007"/>
      <c r="AO118" s="1007"/>
      <c r="AP118" s="1007"/>
      <c r="AQ118" s="1007"/>
      <c r="AR118" s="1007"/>
      <c r="AS118" s="1007"/>
      <c r="AT118" s="1007"/>
      <c r="AU118" s="1007"/>
      <c r="AV118" s="1007"/>
      <c r="AW118" s="1007"/>
      <c r="AX118" s="1007"/>
      <c r="AY118" s="1007"/>
      <c r="AZ118" s="1007"/>
      <c r="BA118" s="1007"/>
      <c r="BB118" s="1007"/>
      <c r="BC118" s="1007"/>
      <c r="BD118" s="1007"/>
    </row>
    <row r="119" spans="1:56" x14ac:dyDescent="0.2">
      <c r="A119" s="315"/>
      <c r="B119" s="315"/>
      <c r="C119" s="315"/>
      <c r="D119" s="315"/>
      <c r="E119" s="315"/>
      <c r="F119" s="315"/>
      <c r="G119" s="315"/>
      <c r="H119" s="315"/>
      <c r="I119" s="338"/>
      <c r="J119" s="338"/>
      <c r="K119" s="338"/>
      <c r="L119" s="338"/>
      <c r="M119" s="1007"/>
      <c r="N119" s="1007"/>
      <c r="O119" s="1007"/>
      <c r="P119" s="1007"/>
      <c r="Q119" s="1007"/>
      <c r="R119" s="1087"/>
      <c r="S119" s="1007"/>
      <c r="T119" s="1007"/>
      <c r="U119" s="1007"/>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7"/>
      <c r="AQ119" s="1007"/>
      <c r="AR119" s="1007"/>
      <c r="AS119" s="1007"/>
      <c r="AT119" s="1007"/>
      <c r="AU119" s="1007"/>
      <c r="AV119" s="1007"/>
      <c r="AW119" s="1007"/>
      <c r="AX119" s="1007"/>
      <c r="AY119" s="1007"/>
      <c r="AZ119" s="1007"/>
      <c r="BA119" s="1007"/>
      <c r="BB119" s="1007"/>
      <c r="BC119" s="1007"/>
      <c r="BD119" s="1007"/>
    </row>
    <row r="120" spans="1:56" x14ac:dyDescent="0.2">
      <c r="A120" s="315"/>
      <c r="B120" s="315"/>
      <c r="C120" s="315"/>
      <c r="D120" s="315"/>
      <c r="E120" s="315"/>
      <c r="F120" s="315"/>
      <c r="G120" s="315"/>
      <c r="H120" s="315"/>
      <c r="I120" s="338"/>
      <c r="J120" s="338"/>
      <c r="K120" s="338"/>
      <c r="L120" s="338"/>
      <c r="M120" s="1007"/>
      <c r="N120" s="1007"/>
      <c r="O120" s="1007"/>
      <c r="P120" s="1007"/>
      <c r="Q120" s="1007"/>
      <c r="R120" s="1087"/>
      <c r="S120" s="1007"/>
      <c r="T120" s="1007"/>
      <c r="U120" s="1007"/>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7"/>
      <c r="AQ120" s="1007"/>
      <c r="AR120" s="1007"/>
      <c r="AS120" s="1007"/>
      <c r="AT120" s="1007"/>
      <c r="AU120" s="1007"/>
      <c r="AV120" s="1007"/>
      <c r="AW120" s="1007"/>
      <c r="AX120" s="1007"/>
      <c r="AY120" s="1007"/>
      <c r="AZ120" s="1007"/>
      <c r="BA120" s="1007"/>
      <c r="BB120" s="1007"/>
      <c r="BC120" s="1007"/>
      <c r="BD120" s="1007"/>
    </row>
    <row r="121" spans="1:56" x14ac:dyDescent="0.2">
      <c r="A121" s="315"/>
      <c r="B121" s="315"/>
      <c r="C121" s="315"/>
      <c r="D121" s="315"/>
      <c r="E121" s="315"/>
      <c r="F121" s="315"/>
      <c r="G121" s="315"/>
      <c r="H121" s="315"/>
      <c r="I121" s="338"/>
      <c r="J121" s="338"/>
      <c r="K121" s="338"/>
      <c r="L121" s="338"/>
      <c r="M121" s="1007"/>
      <c r="N121" s="1007"/>
      <c r="O121" s="1007"/>
      <c r="P121" s="1007"/>
      <c r="Q121" s="1007"/>
      <c r="R121" s="1087"/>
      <c r="S121" s="1007"/>
      <c r="T121" s="1007"/>
      <c r="U121" s="1007"/>
      <c r="V121" s="1007"/>
      <c r="W121" s="1007"/>
      <c r="X121" s="1007"/>
      <c r="Y121" s="1007"/>
      <c r="Z121" s="1007"/>
      <c r="AA121" s="1007"/>
      <c r="AB121" s="1007"/>
      <c r="AC121" s="1007"/>
      <c r="AD121" s="1007"/>
      <c r="AE121" s="1007"/>
      <c r="AF121" s="1007"/>
      <c r="AG121" s="1007"/>
      <c r="AH121" s="1007"/>
      <c r="AI121" s="1007"/>
      <c r="AJ121" s="1007"/>
      <c r="AK121" s="1007"/>
      <c r="AL121" s="1007"/>
      <c r="AM121" s="1007"/>
      <c r="AN121" s="1007"/>
      <c r="AO121" s="1007"/>
      <c r="AP121" s="1007"/>
      <c r="AQ121" s="1007"/>
      <c r="AR121" s="1007"/>
      <c r="AS121" s="1007"/>
      <c r="AT121" s="1007"/>
      <c r="AU121" s="1007"/>
      <c r="AV121" s="1007"/>
      <c r="AW121" s="1007"/>
      <c r="AX121" s="1007"/>
      <c r="AY121" s="1007"/>
      <c r="AZ121" s="1007"/>
      <c r="BA121" s="1007"/>
      <c r="BB121" s="1007"/>
      <c r="BC121" s="1007"/>
      <c r="BD121" s="1007"/>
    </row>
    <row r="122" spans="1:56" x14ac:dyDescent="0.2">
      <c r="A122" s="315"/>
      <c r="B122" s="315"/>
      <c r="C122" s="315"/>
      <c r="D122" s="315"/>
      <c r="E122" s="315"/>
      <c r="F122" s="315"/>
      <c r="G122" s="315"/>
      <c r="H122" s="315"/>
      <c r="I122" s="338"/>
      <c r="J122" s="338"/>
      <c r="K122" s="338"/>
      <c r="L122" s="338"/>
      <c r="M122" s="1007"/>
      <c r="N122" s="1007"/>
      <c r="O122" s="1007"/>
      <c r="P122" s="1007"/>
      <c r="Q122" s="1007"/>
      <c r="R122" s="1087"/>
      <c r="S122" s="1007"/>
      <c r="T122" s="1007"/>
      <c r="U122" s="1007"/>
      <c r="V122" s="1007"/>
      <c r="W122" s="1007"/>
      <c r="X122" s="1007"/>
      <c r="Y122" s="1007"/>
      <c r="Z122" s="1007"/>
      <c r="AA122" s="1007"/>
      <c r="AB122" s="1007"/>
      <c r="AC122" s="1007"/>
      <c r="AD122" s="1007"/>
      <c r="AE122" s="1007"/>
      <c r="AF122" s="1007"/>
      <c r="AG122" s="1007"/>
      <c r="AH122" s="1007"/>
      <c r="AI122" s="1007"/>
      <c r="AJ122" s="1007"/>
      <c r="AK122" s="1007"/>
      <c r="AL122" s="1007"/>
      <c r="AM122" s="1007"/>
      <c r="AN122" s="1007"/>
      <c r="AO122" s="1007"/>
      <c r="AP122" s="1007"/>
      <c r="AQ122" s="1007"/>
      <c r="AR122" s="1007"/>
      <c r="AS122" s="1007"/>
      <c r="AT122" s="1007"/>
      <c r="AU122" s="1007"/>
      <c r="AV122" s="1007"/>
      <c r="AW122" s="1007"/>
      <c r="AX122" s="1007"/>
      <c r="AY122" s="1007"/>
      <c r="AZ122" s="1007"/>
      <c r="BA122" s="1007"/>
      <c r="BB122" s="1007"/>
      <c r="BC122" s="1007"/>
      <c r="BD122" s="1007"/>
    </row>
    <row r="123" spans="1:56" x14ac:dyDescent="0.2">
      <c r="A123" s="315"/>
      <c r="B123" s="315"/>
      <c r="C123" s="315"/>
      <c r="D123" s="315"/>
      <c r="E123" s="315"/>
      <c r="F123" s="315"/>
      <c r="G123" s="315"/>
      <c r="H123" s="315"/>
      <c r="I123" s="338"/>
      <c r="J123" s="338"/>
      <c r="K123" s="338"/>
      <c r="L123" s="338"/>
      <c r="M123" s="1007"/>
      <c r="N123" s="1007"/>
      <c r="O123" s="1007"/>
      <c r="P123" s="1007"/>
      <c r="Q123" s="1007"/>
      <c r="R123" s="1087"/>
      <c r="S123" s="1007"/>
      <c r="T123" s="1007"/>
      <c r="U123" s="1007"/>
      <c r="V123" s="1007"/>
      <c r="W123" s="1007"/>
      <c r="X123" s="1007"/>
      <c r="Y123" s="1007"/>
      <c r="Z123" s="1007"/>
      <c r="AA123" s="1007"/>
      <c r="AB123" s="1007"/>
      <c r="AC123" s="1007"/>
      <c r="AD123" s="1007"/>
      <c r="AE123" s="1007"/>
      <c r="AF123" s="1007"/>
      <c r="AG123" s="1007"/>
      <c r="AH123" s="1007"/>
      <c r="AI123" s="1007"/>
      <c r="AJ123" s="1007"/>
      <c r="AK123" s="1007"/>
      <c r="AL123" s="1007"/>
      <c r="AM123" s="1007"/>
      <c r="AN123" s="1007"/>
      <c r="AO123" s="1007"/>
      <c r="AP123" s="1007"/>
      <c r="AQ123" s="1007"/>
      <c r="AR123" s="1007"/>
      <c r="AS123" s="1007"/>
      <c r="AT123" s="1007"/>
      <c r="AU123" s="1007"/>
      <c r="AV123" s="1007"/>
      <c r="AW123" s="1007"/>
      <c r="AX123" s="1007"/>
      <c r="AY123" s="1007"/>
      <c r="AZ123" s="1007"/>
      <c r="BA123" s="1007"/>
      <c r="BB123" s="1007"/>
      <c r="BC123" s="1007"/>
      <c r="BD123" s="1007"/>
    </row>
    <row r="124" spans="1:56" x14ac:dyDescent="0.2">
      <c r="A124" s="315"/>
      <c r="B124" s="315"/>
      <c r="C124" s="315"/>
      <c r="D124" s="315"/>
      <c r="E124" s="315"/>
      <c r="F124" s="315"/>
      <c r="G124" s="315"/>
      <c r="H124" s="315"/>
      <c r="I124" s="338"/>
      <c r="J124" s="338"/>
      <c r="K124" s="338"/>
      <c r="L124" s="338"/>
      <c r="M124" s="1007"/>
      <c r="N124" s="1007"/>
      <c r="O124" s="1007"/>
      <c r="P124" s="1007"/>
      <c r="Q124" s="1007"/>
      <c r="R124" s="1087"/>
      <c r="S124" s="1007"/>
      <c r="T124" s="1007"/>
      <c r="U124" s="1007"/>
      <c r="V124" s="1007"/>
      <c r="W124" s="1007"/>
      <c r="X124" s="1007"/>
      <c r="Y124" s="1007"/>
      <c r="Z124" s="1007"/>
      <c r="AA124" s="1007"/>
      <c r="AB124" s="1007"/>
      <c r="AC124" s="1007"/>
      <c r="AD124" s="1007"/>
      <c r="AE124" s="1007"/>
      <c r="AF124" s="1007"/>
      <c r="AG124" s="1007"/>
      <c r="AH124" s="1007"/>
      <c r="AI124" s="1007"/>
      <c r="AJ124" s="1007"/>
      <c r="AK124" s="1007"/>
      <c r="AL124" s="1007"/>
      <c r="AM124" s="1007"/>
      <c r="AN124" s="1007"/>
      <c r="AO124" s="1007"/>
      <c r="AP124" s="1007"/>
      <c r="AQ124" s="1007"/>
      <c r="AR124" s="1007"/>
      <c r="AS124" s="1007"/>
      <c r="AT124" s="1007"/>
      <c r="AU124" s="1007"/>
      <c r="AV124" s="1007"/>
      <c r="AW124" s="1007"/>
      <c r="AX124" s="1007"/>
      <c r="AY124" s="1007"/>
      <c r="AZ124" s="1007"/>
      <c r="BA124" s="1007"/>
      <c r="BB124" s="1007"/>
      <c r="BC124" s="1007"/>
      <c r="BD124" s="1007"/>
    </row>
    <row r="125" spans="1:56" x14ac:dyDescent="0.2">
      <c r="A125" s="315"/>
      <c r="B125" s="315"/>
      <c r="C125" s="315"/>
      <c r="D125" s="315"/>
      <c r="E125" s="315"/>
      <c r="F125" s="315"/>
      <c r="G125" s="315"/>
      <c r="H125" s="315"/>
      <c r="I125" s="338"/>
      <c r="J125" s="338"/>
      <c r="K125" s="338"/>
      <c r="L125" s="338"/>
      <c r="M125" s="1007"/>
      <c r="N125" s="1007"/>
      <c r="O125" s="1007"/>
      <c r="P125" s="1007"/>
      <c r="Q125" s="1007"/>
      <c r="R125" s="1087"/>
      <c r="S125" s="1007"/>
      <c r="T125" s="1007"/>
      <c r="U125" s="1007"/>
      <c r="V125" s="1007"/>
      <c r="W125" s="1007"/>
      <c r="X125" s="1007"/>
      <c r="Y125" s="1007"/>
      <c r="Z125" s="1007"/>
      <c r="AA125" s="1007"/>
      <c r="AB125" s="1007"/>
      <c r="AC125" s="1007"/>
      <c r="AD125" s="1007"/>
      <c r="AE125" s="1007"/>
      <c r="AF125" s="1007"/>
      <c r="AG125" s="1007"/>
      <c r="AH125" s="1007"/>
      <c r="AI125" s="1007"/>
      <c r="AJ125" s="1007"/>
      <c r="AK125" s="1007"/>
      <c r="AL125" s="1007"/>
      <c r="AM125" s="1007"/>
      <c r="AN125" s="1007"/>
      <c r="AO125" s="1007"/>
      <c r="AP125" s="1007"/>
      <c r="AQ125" s="1007"/>
      <c r="AR125" s="1007"/>
      <c r="AS125" s="1007"/>
      <c r="AT125" s="1007"/>
      <c r="AU125" s="1007"/>
      <c r="AV125" s="1007"/>
      <c r="AW125" s="1007"/>
      <c r="AX125" s="1007"/>
      <c r="AY125" s="1007"/>
      <c r="AZ125" s="1007"/>
      <c r="BA125" s="1007"/>
      <c r="BB125" s="1007"/>
      <c r="BC125" s="1007"/>
      <c r="BD125" s="1007"/>
    </row>
    <row r="126" spans="1:56" x14ac:dyDescent="0.2">
      <c r="A126" s="315"/>
      <c r="B126" s="315"/>
      <c r="C126" s="315"/>
      <c r="D126" s="315"/>
      <c r="E126" s="315"/>
      <c r="F126" s="315"/>
      <c r="G126" s="315"/>
      <c r="H126" s="315"/>
      <c r="I126" s="338"/>
      <c r="J126" s="338"/>
      <c r="K126" s="338"/>
      <c r="L126" s="338"/>
      <c r="M126" s="1007"/>
      <c r="N126" s="1007"/>
      <c r="O126" s="1007"/>
      <c r="P126" s="1007"/>
      <c r="Q126" s="1007"/>
      <c r="R126" s="1087"/>
      <c r="S126" s="1007"/>
      <c r="T126" s="1007"/>
      <c r="U126" s="1007"/>
      <c r="V126" s="1007"/>
      <c r="W126" s="1007"/>
      <c r="X126" s="1007"/>
      <c r="Y126" s="1007"/>
      <c r="Z126" s="1007"/>
      <c r="AA126" s="1007"/>
      <c r="AB126" s="1007"/>
      <c r="AC126" s="1007"/>
      <c r="AD126" s="1007"/>
      <c r="AE126" s="1007"/>
      <c r="AF126" s="1007"/>
      <c r="AG126" s="1007"/>
      <c r="AH126" s="1007"/>
      <c r="AI126" s="1007"/>
      <c r="AJ126" s="1007"/>
      <c r="AK126" s="1007"/>
      <c r="AL126" s="1007"/>
      <c r="AM126" s="1007"/>
      <c r="AN126" s="1007"/>
      <c r="AO126" s="1007"/>
      <c r="AP126" s="1007"/>
      <c r="AQ126" s="1007"/>
      <c r="AR126" s="1007"/>
      <c r="AS126" s="1007"/>
      <c r="AT126" s="1007"/>
      <c r="AU126" s="1007"/>
      <c r="AV126" s="1007"/>
      <c r="AW126" s="1007"/>
      <c r="AX126" s="1007"/>
      <c r="AY126" s="1007"/>
      <c r="AZ126" s="1007"/>
      <c r="BA126" s="1007"/>
      <c r="BB126" s="1007"/>
      <c r="BC126" s="1007"/>
      <c r="BD126" s="1007"/>
    </row>
    <row r="127" spans="1:56" x14ac:dyDescent="0.2">
      <c r="A127" s="315"/>
      <c r="B127" s="315"/>
      <c r="C127" s="315"/>
      <c r="D127" s="315"/>
      <c r="E127" s="315"/>
      <c r="F127" s="315"/>
      <c r="G127" s="315"/>
      <c r="H127" s="315"/>
      <c r="I127" s="338"/>
      <c r="J127" s="338"/>
      <c r="K127" s="338"/>
      <c r="L127" s="338"/>
      <c r="M127" s="1007"/>
      <c r="N127" s="1007"/>
      <c r="O127" s="1007"/>
      <c r="P127" s="1007"/>
      <c r="Q127" s="1007"/>
      <c r="R127" s="1087"/>
      <c r="S127" s="1007"/>
      <c r="T127" s="1007"/>
      <c r="U127" s="1007"/>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07"/>
      <c r="AP127" s="1007"/>
      <c r="AQ127" s="1007"/>
      <c r="AR127" s="1007"/>
      <c r="AS127" s="1007"/>
      <c r="AT127" s="1007"/>
      <c r="AU127" s="1007"/>
      <c r="AV127" s="1007"/>
      <c r="AW127" s="1007"/>
      <c r="AX127" s="1007"/>
      <c r="AY127" s="1007"/>
      <c r="AZ127" s="1007"/>
      <c r="BA127" s="1007"/>
      <c r="BB127" s="1007"/>
      <c r="BC127" s="1007"/>
      <c r="BD127" s="1007"/>
    </row>
    <row r="128" spans="1:56" x14ac:dyDescent="0.2">
      <c r="A128" s="315"/>
      <c r="B128" s="315"/>
      <c r="C128" s="315"/>
      <c r="D128" s="315"/>
      <c r="E128" s="315"/>
      <c r="F128" s="315"/>
      <c r="G128" s="315"/>
      <c r="H128" s="315"/>
      <c r="I128" s="338"/>
      <c r="J128" s="338"/>
      <c r="K128" s="338"/>
      <c r="L128" s="338"/>
      <c r="M128" s="1007"/>
      <c r="N128" s="1007"/>
      <c r="O128" s="1007"/>
      <c r="P128" s="1007"/>
      <c r="Q128" s="1007"/>
      <c r="R128" s="1087"/>
      <c r="S128" s="1007"/>
      <c r="T128" s="1007"/>
      <c r="U128" s="1007"/>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7"/>
      <c r="AQ128" s="1007"/>
      <c r="AR128" s="1007"/>
      <c r="AS128" s="1007"/>
      <c r="AT128" s="1007"/>
      <c r="AU128" s="1007"/>
      <c r="AV128" s="1007"/>
      <c r="AW128" s="1007"/>
      <c r="AX128" s="1007"/>
      <c r="AY128" s="1007"/>
      <c r="AZ128" s="1007"/>
      <c r="BA128" s="1007"/>
      <c r="BB128" s="1007"/>
      <c r="BC128" s="1007"/>
      <c r="BD128" s="1007"/>
    </row>
    <row r="129" spans="1:56" x14ac:dyDescent="0.2">
      <c r="A129" s="315"/>
      <c r="B129" s="315"/>
      <c r="C129" s="315"/>
      <c r="D129" s="315"/>
      <c r="E129" s="315"/>
      <c r="F129" s="315"/>
      <c r="G129" s="315"/>
      <c r="H129" s="315"/>
      <c r="I129" s="338"/>
      <c r="J129" s="338"/>
      <c r="K129" s="338"/>
      <c r="L129" s="338"/>
      <c r="M129" s="1007"/>
      <c r="N129" s="1007"/>
      <c r="O129" s="1007"/>
      <c r="P129" s="1007"/>
      <c r="Q129" s="1007"/>
      <c r="R129" s="1087"/>
      <c r="S129" s="1007"/>
      <c r="T129" s="1007"/>
      <c r="U129" s="1007"/>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7"/>
      <c r="AQ129" s="1007"/>
      <c r="AR129" s="1007"/>
      <c r="AS129" s="1007"/>
      <c r="AT129" s="1007"/>
      <c r="AU129" s="1007"/>
      <c r="AV129" s="1007"/>
      <c r="AW129" s="1007"/>
      <c r="AX129" s="1007"/>
      <c r="AY129" s="1007"/>
      <c r="AZ129" s="1007"/>
      <c r="BA129" s="1007"/>
      <c r="BB129" s="1007"/>
      <c r="BC129" s="1007"/>
      <c r="BD129" s="1007"/>
    </row>
    <row r="130" spans="1:56" x14ac:dyDescent="0.2">
      <c r="A130" s="315"/>
      <c r="B130" s="315"/>
      <c r="C130" s="315"/>
      <c r="D130" s="315"/>
      <c r="E130" s="315"/>
      <c r="F130" s="315"/>
      <c r="G130" s="315"/>
      <c r="H130" s="315"/>
      <c r="I130" s="338"/>
      <c r="J130" s="338"/>
      <c r="K130" s="338"/>
      <c r="L130" s="338"/>
      <c r="M130" s="1007"/>
      <c r="N130" s="1007"/>
      <c r="O130" s="1007"/>
      <c r="P130" s="1007"/>
      <c r="Q130" s="1007"/>
      <c r="R130" s="1087"/>
      <c r="S130" s="1007"/>
      <c r="T130" s="1007"/>
      <c r="U130" s="1007"/>
      <c r="V130" s="1007"/>
      <c r="W130" s="1007"/>
      <c r="X130" s="1007"/>
      <c r="Y130" s="1007"/>
      <c r="Z130" s="1007"/>
      <c r="AA130" s="1007"/>
      <c r="AB130" s="1007"/>
      <c r="AC130" s="1007"/>
      <c r="AD130" s="1007"/>
      <c r="AE130" s="1007"/>
      <c r="AF130" s="1007"/>
      <c r="AG130" s="1007"/>
      <c r="AH130" s="1007"/>
      <c r="AI130" s="1007"/>
      <c r="AJ130" s="1007"/>
      <c r="AK130" s="1007"/>
      <c r="AL130" s="1007"/>
      <c r="AM130" s="1007"/>
      <c r="AN130" s="1007"/>
      <c r="AO130" s="1007"/>
      <c r="AP130" s="1007"/>
      <c r="AQ130" s="1007"/>
      <c r="AR130" s="1007"/>
      <c r="AS130" s="1007"/>
      <c r="AT130" s="1007"/>
      <c r="AU130" s="1007"/>
      <c r="AV130" s="1007"/>
      <c r="AW130" s="1007"/>
      <c r="AX130" s="1007"/>
      <c r="AY130" s="1007"/>
      <c r="AZ130" s="1007"/>
      <c r="BA130" s="1007"/>
      <c r="BB130" s="1007"/>
      <c r="BC130" s="1007"/>
      <c r="BD130" s="1007"/>
    </row>
    <row r="131" spans="1:56" x14ac:dyDescent="0.2">
      <c r="A131" s="315"/>
      <c r="B131" s="315"/>
      <c r="C131" s="315"/>
      <c r="D131" s="315"/>
      <c r="E131" s="315"/>
      <c r="F131" s="315"/>
      <c r="G131" s="315"/>
      <c r="H131" s="315"/>
      <c r="I131" s="338"/>
      <c r="J131" s="338"/>
      <c r="K131" s="338"/>
      <c r="L131" s="338"/>
      <c r="M131" s="1007"/>
      <c r="N131" s="1007"/>
      <c r="O131" s="1007"/>
      <c r="P131" s="1007"/>
      <c r="Q131" s="1007"/>
      <c r="R131" s="1087"/>
      <c r="S131" s="1007"/>
      <c r="T131" s="1007"/>
      <c r="U131" s="1007"/>
      <c r="V131" s="1007"/>
      <c r="W131" s="1007"/>
      <c r="X131" s="1007"/>
      <c r="Y131" s="1007"/>
      <c r="Z131" s="1007"/>
      <c r="AA131" s="1007"/>
      <c r="AB131" s="1007"/>
      <c r="AC131" s="1007"/>
      <c r="AD131" s="1007"/>
      <c r="AE131" s="1007"/>
      <c r="AF131" s="1007"/>
      <c r="AG131" s="1007"/>
      <c r="AH131" s="1007"/>
      <c r="AI131" s="1007"/>
      <c r="AJ131" s="1007"/>
      <c r="AK131" s="1007"/>
      <c r="AL131" s="1007"/>
      <c r="AM131" s="1007"/>
      <c r="AN131" s="1007"/>
      <c r="AO131" s="1007"/>
      <c r="AP131" s="1007"/>
      <c r="AQ131" s="1007"/>
      <c r="AR131" s="1007"/>
      <c r="AS131" s="1007"/>
      <c r="AT131" s="1007"/>
      <c r="AU131" s="1007"/>
      <c r="AV131" s="1007"/>
      <c r="AW131" s="1007"/>
      <c r="AX131" s="1007"/>
      <c r="AY131" s="1007"/>
      <c r="AZ131" s="1007"/>
      <c r="BA131" s="1007"/>
      <c r="BB131" s="1007"/>
      <c r="BC131" s="1007"/>
      <c r="BD131" s="1007"/>
    </row>
    <row r="132" spans="1:56" x14ac:dyDescent="0.2">
      <c r="A132" s="315"/>
      <c r="B132" s="315"/>
      <c r="C132" s="315"/>
      <c r="D132" s="315"/>
      <c r="E132" s="315"/>
      <c r="F132" s="315"/>
      <c r="G132" s="315"/>
      <c r="H132" s="315"/>
      <c r="I132" s="338"/>
      <c r="J132" s="338"/>
      <c r="K132" s="338"/>
      <c r="L132" s="338"/>
      <c r="M132" s="1007"/>
      <c r="N132" s="1007"/>
      <c r="O132" s="1007"/>
      <c r="P132" s="1007"/>
      <c r="Q132" s="1007"/>
      <c r="R132" s="1087"/>
      <c r="S132" s="1007"/>
      <c r="T132" s="1007"/>
      <c r="U132" s="1007"/>
      <c r="V132" s="1007"/>
      <c r="W132" s="1007"/>
      <c r="X132" s="1007"/>
      <c r="Y132" s="1007"/>
      <c r="Z132" s="1007"/>
      <c r="AA132" s="1007"/>
      <c r="AB132" s="1007"/>
      <c r="AC132" s="1007"/>
      <c r="AD132" s="1007"/>
      <c r="AE132" s="1007"/>
      <c r="AF132" s="1007"/>
      <c r="AG132" s="1007"/>
      <c r="AH132" s="1007"/>
      <c r="AI132" s="1007"/>
      <c r="AJ132" s="1007"/>
      <c r="AK132" s="1007"/>
      <c r="AL132" s="1007"/>
      <c r="AM132" s="1007"/>
      <c r="AN132" s="1007"/>
      <c r="AO132" s="1007"/>
      <c r="AP132" s="1007"/>
      <c r="AQ132" s="1007"/>
      <c r="AR132" s="1007"/>
      <c r="AS132" s="1007"/>
      <c r="AT132" s="1007"/>
      <c r="AU132" s="1007"/>
      <c r="AV132" s="1007"/>
      <c r="AW132" s="1007"/>
      <c r="AX132" s="1007"/>
      <c r="AY132" s="1007"/>
      <c r="AZ132" s="1007"/>
      <c r="BA132" s="1007"/>
      <c r="BB132" s="1007"/>
      <c r="BC132" s="1007"/>
      <c r="BD132" s="1007"/>
    </row>
    <row r="133" spans="1:56" x14ac:dyDescent="0.2">
      <c r="A133" s="315"/>
      <c r="B133" s="315"/>
      <c r="C133" s="315"/>
      <c r="D133" s="315"/>
      <c r="E133" s="315"/>
      <c r="F133" s="315"/>
      <c r="G133" s="315"/>
      <c r="H133" s="315"/>
      <c r="I133" s="338"/>
      <c r="J133" s="338"/>
      <c r="K133" s="338"/>
      <c r="L133" s="338"/>
      <c r="M133" s="1007"/>
      <c r="N133" s="1007"/>
      <c r="O133" s="1007"/>
      <c r="P133" s="1007"/>
      <c r="Q133" s="1007"/>
      <c r="R133" s="1087"/>
      <c r="S133" s="1007"/>
      <c r="T133" s="1007"/>
      <c r="U133" s="1007"/>
      <c r="V133" s="1007"/>
      <c r="W133" s="1007"/>
      <c r="X133" s="1007"/>
      <c r="Y133" s="1007"/>
      <c r="Z133" s="1007"/>
      <c r="AA133" s="1007"/>
      <c r="AB133" s="1007"/>
      <c r="AC133" s="1007"/>
      <c r="AD133" s="1007"/>
      <c r="AE133" s="1007"/>
      <c r="AF133" s="1007"/>
      <c r="AG133" s="1007"/>
      <c r="AH133" s="1007"/>
      <c r="AI133" s="1007"/>
      <c r="AJ133" s="1007"/>
      <c r="AK133" s="1007"/>
      <c r="AL133" s="1007"/>
      <c r="AM133" s="1007"/>
      <c r="AN133" s="1007"/>
      <c r="AO133" s="1007"/>
      <c r="AP133" s="1007"/>
      <c r="AQ133" s="1007"/>
      <c r="AR133" s="1007"/>
      <c r="AS133" s="1007"/>
      <c r="AT133" s="1007"/>
      <c r="AU133" s="1007"/>
      <c r="AV133" s="1007"/>
      <c r="AW133" s="1007"/>
      <c r="AX133" s="1007"/>
      <c r="AY133" s="1007"/>
      <c r="AZ133" s="1007"/>
      <c r="BA133" s="1007"/>
      <c r="BB133" s="1007"/>
      <c r="BC133" s="1007"/>
      <c r="BD133" s="1007"/>
    </row>
    <row r="134" spans="1:56" x14ac:dyDescent="0.2">
      <c r="A134" s="315"/>
      <c r="B134" s="315"/>
      <c r="C134" s="315"/>
      <c r="D134" s="315"/>
      <c r="E134" s="315"/>
      <c r="F134" s="315"/>
      <c r="G134" s="315"/>
      <c r="H134" s="315"/>
      <c r="I134" s="338"/>
      <c r="J134" s="338"/>
      <c r="K134" s="338"/>
      <c r="L134" s="338"/>
      <c r="M134" s="1007"/>
      <c r="N134" s="1007"/>
      <c r="O134" s="1007"/>
      <c r="P134" s="1007"/>
      <c r="Q134" s="1007"/>
      <c r="R134" s="1087"/>
      <c r="S134" s="1007"/>
      <c r="T134" s="1007"/>
      <c r="U134" s="1007"/>
      <c r="V134" s="1007"/>
      <c r="W134" s="1007"/>
      <c r="X134" s="1007"/>
      <c r="Y134" s="1007"/>
      <c r="Z134" s="1007"/>
      <c r="AA134" s="1007"/>
      <c r="AB134" s="1007"/>
      <c r="AC134" s="1007"/>
      <c r="AD134" s="1007"/>
      <c r="AE134" s="1007"/>
      <c r="AF134" s="1007"/>
      <c r="AG134" s="1007"/>
      <c r="AH134" s="1007"/>
      <c r="AI134" s="1007"/>
      <c r="AJ134" s="1007"/>
      <c r="AK134" s="1007"/>
      <c r="AL134" s="1007"/>
      <c r="AM134" s="1007"/>
      <c r="AN134" s="1007"/>
      <c r="AO134" s="1007"/>
      <c r="AP134" s="1007"/>
      <c r="AQ134" s="1007"/>
      <c r="AR134" s="1007"/>
      <c r="AS134" s="1007"/>
      <c r="AT134" s="1007"/>
      <c r="AU134" s="1007"/>
      <c r="AV134" s="1007"/>
      <c r="AW134" s="1007"/>
      <c r="AX134" s="1007"/>
      <c r="AY134" s="1007"/>
      <c r="AZ134" s="1007"/>
      <c r="BA134" s="1007"/>
      <c r="BB134" s="1007"/>
      <c r="BC134" s="1007"/>
      <c r="BD134" s="1007"/>
    </row>
    <row r="135" spans="1:56" x14ac:dyDescent="0.2">
      <c r="A135" s="315"/>
      <c r="B135" s="315"/>
      <c r="C135" s="315"/>
      <c r="D135" s="315"/>
      <c r="E135" s="315"/>
      <c r="F135" s="315"/>
      <c r="G135" s="315"/>
      <c r="H135" s="315"/>
      <c r="I135" s="338"/>
      <c r="J135" s="338"/>
      <c r="K135" s="338"/>
      <c r="L135" s="338"/>
      <c r="M135" s="1007"/>
      <c r="N135" s="1007"/>
      <c r="O135" s="1007"/>
      <c r="P135" s="1007"/>
      <c r="Q135" s="1007"/>
      <c r="R135" s="1087"/>
      <c r="S135" s="1007"/>
      <c r="T135" s="1007"/>
      <c r="U135" s="1007"/>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07"/>
      <c r="AP135" s="1007"/>
      <c r="AQ135" s="1007"/>
      <c r="AR135" s="1007"/>
      <c r="AS135" s="1007"/>
      <c r="AT135" s="1007"/>
      <c r="AU135" s="1007"/>
      <c r="AV135" s="1007"/>
      <c r="AW135" s="1007"/>
      <c r="AX135" s="1007"/>
      <c r="AY135" s="1007"/>
      <c r="AZ135" s="1007"/>
      <c r="BA135" s="1007"/>
      <c r="BB135" s="1007"/>
      <c r="BC135" s="1007"/>
      <c r="BD135" s="1007"/>
    </row>
    <row r="136" spans="1:56" x14ac:dyDescent="0.2">
      <c r="A136" s="315"/>
      <c r="B136" s="315"/>
      <c r="C136" s="315"/>
      <c r="D136" s="315"/>
      <c r="E136" s="315"/>
      <c r="F136" s="315"/>
      <c r="G136" s="315"/>
      <c r="H136" s="315"/>
      <c r="I136" s="338"/>
      <c r="J136" s="338"/>
      <c r="K136" s="338"/>
      <c r="L136" s="338"/>
      <c r="M136" s="1007"/>
      <c r="N136" s="1007"/>
      <c r="O136" s="1007"/>
      <c r="P136" s="1007"/>
      <c r="Q136" s="1007"/>
      <c r="R136" s="1007"/>
      <c r="S136" s="1007"/>
      <c r="T136" s="1007"/>
      <c r="U136" s="1007"/>
      <c r="V136" s="1007"/>
      <c r="W136" s="1007"/>
      <c r="X136" s="1007"/>
      <c r="Y136" s="1007"/>
      <c r="Z136" s="1007"/>
      <c r="AA136" s="1007"/>
      <c r="AB136" s="1007"/>
      <c r="AC136" s="1007"/>
      <c r="AD136" s="1007"/>
      <c r="AE136" s="1007"/>
      <c r="AF136" s="1007"/>
      <c r="AG136" s="1007"/>
      <c r="AH136" s="1007"/>
      <c r="AI136" s="1007"/>
      <c r="AJ136" s="1007"/>
      <c r="AK136" s="1007"/>
      <c r="AL136" s="1007"/>
      <c r="AM136" s="1007"/>
      <c r="AN136" s="1007"/>
      <c r="AO136" s="1007"/>
      <c r="AP136" s="1007"/>
      <c r="AQ136" s="1007"/>
      <c r="AR136" s="1007"/>
      <c r="AS136" s="1007"/>
      <c r="AT136" s="1007"/>
      <c r="AU136" s="1007"/>
      <c r="AV136" s="1007"/>
      <c r="AW136" s="1007"/>
      <c r="AX136" s="1007"/>
      <c r="AY136" s="1007"/>
      <c r="AZ136" s="1007"/>
      <c r="BA136" s="1007"/>
      <c r="BB136" s="1007"/>
      <c r="BC136" s="1007"/>
      <c r="BD136" s="1007"/>
    </row>
    <row r="137" spans="1:56" x14ac:dyDescent="0.2">
      <c r="A137" s="315"/>
      <c r="B137" s="315"/>
      <c r="C137" s="315"/>
      <c r="D137" s="315"/>
      <c r="E137" s="315"/>
      <c r="F137" s="315"/>
      <c r="G137" s="315"/>
      <c r="H137" s="315"/>
      <c r="I137" s="338"/>
      <c r="J137" s="338"/>
      <c r="K137" s="338"/>
      <c r="L137" s="338"/>
      <c r="M137" s="1007"/>
      <c r="N137" s="1007"/>
      <c r="O137" s="1007"/>
      <c r="P137" s="1007"/>
      <c r="Q137" s="1007"/>
      <c r="R137" s="1007"/>
      <c r="S137" s="1007"/>
      <c r="T137" s="1007"/>
      <c r="U137" s="1007"/>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7"/>
      <c r="AQ137" s="1007"/>
      <c r="AR137" s="1007"/>
      <c r="AS137" s="1007"/>
      <c r="AT137" s="1007"/>
      <c r="AU137" s="1007"/>
      <c r="AV137" s="1007"/>
      <c r="AW137" s="1007"/>
      <c r="AX137" s="1007"/>
      <c r="AY137" s="1007"/>
      <c r="AZ137" s="1007"/>
      <c r="BA137" s="1007"/>
      <c r="BB137" s="1007"/>
      <c r="BC137" s="1007"/>
      <c r="BD137" s="1007"/>
    </row>
    <row r="138" spans="1:56" x14ac:dyDescent="0.2">
      <c r="A138" s="315"/>
      <c r="B138" s="315"/>
      <c r="C138" s="315"/>
      <c r="D138" s="315"/>
      <c r="E138" s="315"/>
      <c r="F138" s="315"/>
      <c r="G138" s="315"/>
      <c r="H138" s="315"/>
      <c r="I138" s="338"/>
      <c r="J138" s="338"/>
      <c r="K138" s="338"/>
      <c r="L138" s="338"/>
      <c r="M138" s="1007"/>
      <c r="N138" s="1007"/>
      <c r="O138" s="1007"/>
      <c r="P138" s="1007"/>
      <c r="Q138" s="1007"/>
      <c r="R138" s="1007"/>
      <c r="S138" s="1007"/>
      <c r="T138" s="1007"/>
      <c r="U138" s="1007"/>
      <c r="V138" s="1007"/>
      <c r="W138" s="1007"/>
      <c r="X138" s="1007"/>
      <c r="Y138" s="1007"/>
      <c r="Z138" s="1007"/>
      <c r="AA138" s="1007"/>
      <c r="AB138" s="1007"/>
      <c r="AC138" s="1007"/>
      <c r="AD138" s="1007"/>
      <c r="AE138" s="1007"/>
      <c r="AF138" s="1007"/>
      <c r="AG138" s="1007"/>
      <c r="AH138" s="1007"/>
      <c r="AI138" s="1007"/>
      <c r="AJ138" s="1007"/>
      <c r="AK138" s="1007"/>
      <c r="AL138" s="1007"/>
      <c r="AM138" s="1007"/>
      <c r="AN138" s="1007"/>
      <c r="AO138" s="1007"/>
      <c r="AP138" s="1007"/>
      <c r="AQ138" s="1007"/>
      <c r="AR138" s="1007"/>
      <c r="AS138" s="1007"/>
      <c r="AT138" s="1007"/>
      <c r="AU138" s="1007"/>
      <c r="AV138" s="1007"/>
      <c r="AW138" s="1007"/>
      <c r="AX138" s="1007"/>
      <c r="AY138" s="1007"/>
      <c r="AZ138" s="1007"/>
      <c r="BA138" s="1007"/>
      <c r="BB138" s="1007"/>
      <c r="BC138" s="1007"/>
      <c r="BD138" s="1007"/>
    </row>
    <row r="139" spans="1:56" x14ac:dyDescent="0.2">
      <c r="A139" s="315"/>
      <c r="B139" s="315"/>
      <c r="C139" s="315"/>
      <c r="D139" s="315"/>
      <c r="E139" s="315"/>
      <c r="F139" s="315"/>
      <c r="G139" s="315"/>
      <c r="H139" s="315"/>
      <c r="I139" s="338"/>
      <c r="J139" s="338"/>
      <c r="K139" s="338"/>
      <c r="L139" s="338"/>
      <c r="M139" s="1007"/>
      <c r="N139" s="1007"/>
      <c r="O139" s="1007"/>
      <c r="P139" s="1007"/>
      <c r="Q139" s="1007"/>
      <c r="R139" s="1007"/>
      <c r="S139" s="1007"/>
      <c r="T139" s="1007"/>
      <c r="U139" s="1007"/>
      <c r="V139" s="1007"/>
      <c r="W139" s="1007"/>
      <c r="X139" s="1007"/>
      <c r="Y139" s="1007"/>
      <c r="Z139" s="1007"/>
      <c r="AA139" s="1007"/>
      <c r="AB139" s="1007"/>
      <c r="AC139" s="1007"/>
      <c r="AD139" s="1007"/>
      <c r="AE139" s="1007"/>
      <c r="AF139" s="1007"/>
      <c r="AG139" s="1007"/>
      <c r="AH139" s="1007"/>
      <c r="AI139" s="1007"/>
      <c r="AJ139" s="1007"/>
      <c r="AK139" s="1007"/>
      <c r="AL139" s="1007"/>
      <c r="AM139" s="1007"/>
      <c r="AN139" s="1007"/>
      <c r="AO139" s="1007"/>
      <c r="AP139" s="1007"/>
      <c r="AQ139" s="1007"/>
      <c r="AR139" s="1007"/>
      <c r="AS139" s="1007"/>
      <c r="AT139" s="1007"/>
      <c r="AU139" s="1007"/>
      <c r="AV139" s="1007"/>
      <c r="AW139" s="1007"/>
      <c r="AX139" s="1007"/>
      <c r="AY139" s="1007"/>
      <c r="AZ139" s="1007"/>
      <c r="BA139" s="1007"/>
      <c r="BB139" s="1007"/>
      <c r="BC139" s="1007"/>
      <c r="BD139" s="1007"/>
    </row>
    <row r="140" spans="1:56" x14ac:dyDescent="0.2">
      <c r="A140" s="315"/>
      <c r="B140" s="315"/>
      <c r="C140" s="315"/>
      <c r="D140" s="315"/>
      <c r="E140" s="315"/>
      <c r="F140" s="315"/>
      <c r="G140" s="315"/>
      <c r="H140" s="315"/>
      <c r="I140" s="338"/>
      <c r="J140" s="338"/>
      <c r="K140" s="338"/>
      <c r="L140" s="338"/>
      <c r="M140" s="1007"/>
      <c r="N140" s="1007"/>
      <c r="O140" s="1007"/>
      <c r="P140" s="1007"/>
      <c r="Q140" s="1007"/>
      <c r="R140" s="1007"/>
      <c r="S140" s="1007"/>
      <c r="T140" s="1007"/>
      <c r="U140" s="1007"/>
      <c r="V140" s="1007"/>
      <c r="W140" s="1007"/>
      <c r="X140" s="1007"/>
      <c r="Y140" s="1007"/>
      <c r="Z140" s="1007"/>
      <c r="AA140" s="1007"/>
      <c r="AB140" s="1007"/>
      <c r="AC140" s="1007"/>
      <c r="AD140" s="1007"/>
      <c r="AE140" s="1007"/>
      <c r="AF140" s="1007"/>
      <c r="AG140" s="1007"/>
      <c r="AH140" s="1007"/>
      <c r="AI140" s="1007"/>
      <c r="AJ140" s="1007"/>
      <c r="AK140" s="1007"/>
      <c r="AL140" s="1007"/>
      <c r="AM140" s="1007"/>
      <c r="AN140" s="1007"/>
      <c r="AO140" s="1007"/>
      <c r="AP140" s="1007"/>
      <c r="AQ140" s="1007"/>
      <c r="AR140" s="1007"/>
      <c r="AS140" s="1007"/>
      <c r="AT140" s="1007"/>
      <c r="AU140" s="1007"/>
      <c r="AV140" s="1007"/>
      <c r="AW140" s="1007"/>
      <c r="AX140" s="1007"/>
      <c r="AY140" s="1007"/>
      <c r="AZ140" s="1007"/>
      <c r="BA140" s="1007"/>
      <c r="BB140" s="1007"/>
      <c r="BC140" s="1007"/>
      <c r="BD140" s="1007"/>
    </row>
    <row r="141" spans="1:56" x14ac:dyDescent="0.2">
      <c r="A141" s="315"/>
      <c r="B141" s="315"/>
      <c r="C141" s="315"/>
      <c r="D141" s="315"/>
      <c r="E141" s="315"/>
      <c r="F141" s="315"/>
      <c r="G141" s="315"/>
      <c r="H141" s="315"/>
      <c r="I141" s="338"/>
      <c r="J141" s="338"/>
      <c r="K141" s="338"/>
      <c r="L141" s="338"/>
      <c r="M141" s="1007"/>
      <c r="N141" s="1007"/>
      <c r="O141" s="1007"/>
      <c r="P141" s="1007"/>
      <c r="Q141" s="1007"/>
      <c r="R141" s="1007"/>
      <c r="S141" s="1007"/>
      <c r="T141" s="1007"/>
      <c r="U141" s="1007"/>
      <c r="V141" s="1007"/>
      <c r="W141" s="1007"/>
      <c r="X141" s="1007"/>
      <c r="Y141" s="1007"/>
      <c r="Z141" s="1007"/>
      <c r="AA141" s="1007"/>
      <c r="AB141" s="1007"/>
      <c r="AC141" s="1007"/>
      <c r="AD141" s="1007"/>
      <c r="AE141" s="1007"/>
      <c r="AF141" s="1007"/>
      <c r="AG141" s="1007"/>
      <c r="AH141" s="1007"/>
      <c r="AI141" s="1007"/>
      <c r="AJ141" s="1007"/>
      <c r="AK141" s="1007"/>
      <c r="AL141" s="1007"/>
      <c r="AM141" s="1007"/>
      <c r="AN141" s="1007"/>
      <c r="AO141" s="1007"/>
      <c r="AP141" s="1007"/>
      <c r="AQ141" s="1007"/>
      <c r="AR141" s="1007"/>
      <c r="AS141" s="1007"/>
      <c r="AT141" s="1007"/>
      <c r="AU141" s="1007"/>
      <c r="AV141" s="1007"/>
      <c r="AW141" s="1007"/>
      <c r="AX141" s="1007"/>
      <c r="AY141" s="1007"/>
      <c r="AZ141" s="1007"/>
      <c r="BA141" s="1007"/>
      <c r="BB141" s="1007"/>
      <c r="BC141" s="1007"/>
      <c r="BD141" s="1007"/>
    </row>
    <row r="142" spans="1:56" x14ac:dyDescent="0.2">
      <c r="A142" s="315"/>
      <c r="B142" s="315"/>
      <c r="C142" s="315"/>
      <c r="D142" s="315"/>
      <c r="E142" s="315"/>
      <c r="F142" s="315"/>
      <c r="G142" s="315"/>
      <c r="H142" s="315"/>
      <c r="I142" s="338"/>
      <c r="J142" s="338"/>
      <c r="K142" s="338"/>
      <c r="L142" s="338"/>
      <c r="M142" s="1007"/>
      <c r="N142" s="1007"/>
      <c r="O142" s="1007"/>
      <c r="P142" s="1007"/>
      <c r="Q142" s="1007"/>
      <c r="R142" s="1007"/>
      <c r="S142" s="1007"/>
      <c r="T142" s="1007"/>
      <c r="U142" s="1007"/>
      <c r="V142" s="1007"/>
      <c r="W142" s="1007"/>
      <c r="X142" s="1007"/>
      <c r="Y142" s="1007"/>
      <c r="Z142" s="1007"/>
      <c r="AA142" s="1007"/>
      <c r="AB142" s="1007"/>
      <c r="AC142" s="1007"/>
      <c r="AD142" s="1007"/>
      <c r="AE142" s="1007"/>
      <c r="AF142" s="1007"/>
      <c r="AG142" s="1007"/>
      <c r="AH142" s="1007"/>
      <c r="AI142" s="1007"/>
      <c r="AJ142" s="1007"/>
      <c r="AK142" s="1007"/>
      <c r="AL142" s="1007"/>
      <c r="AM142" s="1007"/>
      <c r="AN142" s="1007"/>
      <c r="AO142" s="1007"/>
      <c r="AP142" s="1007"/>
      <c r="AQ142" s="1007"/>
      <c r="AR142" s="1007"/>
      <c r="AS142" s="1007"/>
      <c r="AT142" s="1007"/>
      <c r="AU142" s="1007"/>
      <c r="AV142" s="1007"/>
      <c r="AW142" s="1007"/>
      <c r="AX142" s="1007"/>
      <c r="AY142" s="1007"/>
      <c r="AZ142" s="1007"/>
      <c r="BA142" s="1007"/>
      <c r="BB142" s="1007"/>
      <c r="BC142" s="1007"/>
      <c r="BD142" s="1007"/>
    </row>
    <row r="143" spans="1:56" x14ac:dyDescent="0.2">
      <c r="A143" s="315"/>
      <c r="B143" s="315"/>
      <c r="C143" s="315"/>
      <c r="D143" s="315"/>
      <c r="E143" s="315"/>
      <c r="F143" s="315"/>
      <c r="G143" s="315"/>
      <c r="H143" s="315"/>
      <c r="I143" s="338"/>
      <c r="J143" s="338"/>
      <c r="K143" s="338"/>
      <c r="L143" s="338"/>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c r="AJ143" s="1007"/>
      <c r="AK143" s="1007"/>
      <c r="AL143" s="1007"/>
      <c r="AM143" s="1007"/>
      <c r="AN143" s="1007"/>
      <c r="AO143" s="1007"/>
      <c r="AP143" s="1007"/>
      <c r="AQ143" s="1007"/>
      <c r="AR143" s="1007"/>
      <c r="AS143" s="1007"/>
      <c r="AT143" s="1007"/>
      <c r="AU143" s="1007"/>
      <c r="AV143" s="1007"/>
      <c r="AW143" s="1007"/>
      <c r="AX143" s="1007"/>
      <c r="AY143" s="1007"/>
      <c r="AZ143" s="1007"/>
      <c r="BA143" s="1007"/>
      <c r="BB143" s="1007"/>
      <c r="BC143" s="1007"/>
      <c r="BD143" s="1007"/>
    </row>
    <row r="144" spans="1:56" x14ac:dyDescent="0.2">
      <c r="A144" s="315"/>
      <c r="B144" s="315"/>
      <c r="C144" s="315"/>
      <c r="D144" s="315"/>
      <c r="E144" s="315"/>
      <c r="F144" s="315"/>
      <c r="G144" s="315"/>
      <c r="H144" s="315"/>
      <c r="I144" s="338"/>
      <c r="J144" s="338"/>
      <c r="K144" s="338"/>
      <c r="L144" s="338"/>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c r="AJ144" s="1007"/>
      <c r="AK144" s="1007"/>
      <c r="AL144" s="1007"/>
      <c r="AM144" s="1007"/>
      <c r="AN144" s="1007"/>
      <c r="AO144" s="1007"/>
      <c r="AP144" s="1007"/>
      <c r="AQ144" s="1007"/>
      <c r="AR144" s="1007"/>
      <c r="AS144" s="1007"/>
      <c r="AT144" s="1007"/>
      <c r="AU144" s="1007"/>
      <c r="AV144" s="1007"/>
      <c r="AW144" s="1007"/>
      <c r="AX144" s="1007"/>
      <c r="AY144" s="1007"/>
      <c r="AZ144" s="1007"/>
      <c r="BA144" s="1007"/>
      <c r="BB144" s="1007"/>
      <c r="BC144" s="1007"/>
      <c r="BD144" s="1007"/>
    </row>
    <row r="145" spans="1:56" x14ac:dyDescent="0.2">
      <c r="A145" s="315"/>
      <c r="B145" s="315"/>
      <c r="C145" s="315"/>
      <c r="D145" s="315"/>
      <c r="E145" s="315"/>
      <c r="F145" s="315"/>
      <c r="G145" s="315"/>
      <c r="H145" s="315"/>
      <c r="I145" s="338"/>
      <c r="J145" s="338"/>
      <c r="K145" s="338"/>
      <c r="L145" s="338"/>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c r="AJ145" s="1007"/>
      <c r="AK145" s="1007"/>
      <c r="AL145" s="1007"/>
      <c r="AM145" s="1007"/>
      <c r="AN145" s="1007"/>
      <c r="AO145" s="1007"/>
      <c r="AP145" s="1007"/>
      <c r="AQ145" s="1007"/>
      <c r="AR145" s="1007"/>
      <c r="AS145" s="1007"/>
      <c r="AT145" s="1007"/>
      <c r="AU145" s="1007"/>
      <c r="AV145" s="1007"/>
      <c r="AW145" s="1007"/>
      <c r="AX145" s="1007"/>
      <c r="AY145" s="1007"/>
      <c r="AZ145" s="1007"/>
      <c r="BA145" s="1007"/>
      <c r="BB145" s="1007"/>
      <c r="BC145" s="1007"/>
      <c r="BD145" s="1007"/>
    </row>
    <row r="146" spans="1:56" x14ac:dyDescent="0.2">
      <c r="A146" s="315"/>
      <c r="B146" s="315"/>
      <c r="C146" s="315"/>
      <c r="D146" s="315"/>
      <c r="E146" s="315"/>
      <c r="F146" s="315"/>
      <c r="G146" s="315"/>
      <c r="H146" s="315"/>
      <c r="I146" s="338"/>
      <c r="J146" s="338"/>
      <c r="K146" s="338"/>
      <c r="L146" s="338"/>
      <c r="M146" s="1007"/>
      <c r="N146" s="1007"/>
      <c r="O146" s="1007"/>
      <c r="P146" s="1007"/>
      <c r="Q146" s="1007"/>
      <c r="R146" s="1007"/>
      <c r="S146" s="1007"/>
      <c r="T146" s="1007"/>
      <c r="U146" s="1007"/>
      <c r="V146" s="1007"/>
      <c r="W146" s="1007"/>
      <c r="X146" s="1007"/>
      <c r="Y146" s="1007"/>
      <c r="Z146" s="1007"/>
      <c r="AA146" s="1007"/>
      <c r="AB146" s="1007"/>
      <c r="AC146" s="1007"/>
      <c r="AD146" s="1007"/>
      <c r="AE146" s="1007"/>
      <c r="AF146" s="1007"/>
      <c r="AG146" s="1007"/>
      <c r="AH146" s="1007"/>
      <c r="AI146" s="1007"/>
      <c r="AJ146" s="1007"/>
      <c r="AK146" s="1007"/>
      <c r="AL146" s="1007"/>
      <c r="AM146" s="1007"/>
      <c r="AN146" s="1007"/>
      <c r="AO146" s="1007"/>
      <c r="AP146" s="1007"/>
      <c r="AQ146" s="1007"/>
      <c r="AR146" s="1007"/>
      <c r="AS146" s="1007"/>
      <c r="AT146" s="1007"/>
      <c r="AU146" s="1007"/>
      <c r="AV146" s="1007"/>
      <c r="AW146" s="1007"/>
      <c r="AX146" s="1007"/>
      <c r="AY146" s="1007"/>
      <c r="AZ146" s="1007"/>
      <c r="BA146" s="1007"/>
      <c r="BB146" s="1007"/>
      <c r="BC146" s="1007"/>
      <c r="BD146" s="1007"/>
    </row>
    <row r="147" spans="1:56" x14ac:dyDescent="0.2">
      <c r="A147" s="315"/>
      <c r="B147" s="315"/>
      <c r="C147" s="315"/>
      <c r="D147" s="315"/>
      <c r="E147" s="315"/>
      <c r="F147" s="315"/>
      <c r="G147" s="315"/>
      <c r="H147" s="315"/>
      <c r="I147" s="338"/>
      <c r="J147" s="338"/>
      <c r="K147" s="338"/>
      <c r="L147" s="338"/>
      <c r="M147" s="1007"/>
      <c r="N147" s="1007"/>
      <c r="O147" s="1007"/>
      <c r="P147" s="1007"/>
      <c r="Q147" s="1007"/>
      <c r="R147" s="1007"/>
      <c r="S147" s="1007"/>
      <c r="T147" s="1007"/>
      <c r="U147" s="1007"/>
      <c r="V147" s="1007"/>
      <c r="W147" s="1007"/>
      <c r="X147" s="1007"/>
      <c r="Y147" s="1007"/>
      <c r="Z147" s="1007"/>
      <c r="AA147" s="1007"/>
      <c r="AB147" s="1007"/>
      <c r="AC147" s="1007"/>
      <c r="AD147" s="1007"/>
      <c r="AE147" s="1007"/>
      <c r="AF147" s="1007"/>
      <c r="AG147" s="1007"/>
      <c r="AH147" s="1007"/>
      <c r="AI147" s="1007"/>
      <c r="AJ147" s="1007"/>
      <c r="AK147" s="1007"/>
      <c r="AL147" s="1007"/>
      <c r="AM147" s="1007"/>
      <c r="AN147" s="1007"/>
      <c r="AO147" s="1007"/>
      <c r="AP147" s="1007"/>
      <c r="AQ147" s="1007"/>
      <c r="AR147" s="1007"/>
      <c r="AS147" s="1007"/>
      <c r="AT147" s="1007"/>
      <c r="AU147" s="1007"/>
      <c r="AV147" s="1007"/>
      <c r="AW147" s="1007"/>
      <c r="AX147" s="1007"/>
      <c r="AY147" s="1007"/>
      <c r="AZ147" s="1007"/>
      <c r="BA147" s="1007"/>
      <c r="BB147" s="1007"/>
      <c r="BC147" s="1007"/>
      <c r="BD147" s="1007"/>
    </row>
    <row r="148" spans="1:56" x14ac:dyDescent="0.2">
      <c r="A148" s="315"/>
      <c r="B148" s="315"/>
      <c r="C148" s="315"/>
      <c r="D148" s="315"/>
      <c r="E148" s="315"/>
      <c r="F148" s="315"/>
      <c r="G148" s="315"/>
      <c r="H148" s="315"/>
      <c r="I148" s="338"/>
      <c r="J148" s="338"/>
      <c r="K148" s="338"/>
      <c r="L148" s="338"/>
      <c r="M148" s="1007"/>
      <c r="N148" s="1007"/>
      <c r="O148" s="1007"/>
      <c r="P148" s="1007"/>
      <c r="Q148" s="1007"/>
      <c r="R148" s="1007"/>
      <c r="S148" s="1007"/>
      <c r="T148" s="1007"/>
      <c r="U148" s="1007"/>
      <c r="V148" s="1007"/>
      <c r="W148" s="1007"/>
      <c r="X148" s="1007"/>
      <c r="Y148" s="1007"/>
      <c r="Z148" s="1007"/>
      <c r="AA148" s="1007"/>
      <c r="AB148" s="1007"/>
      <c r="AC148" s="1007"/>
      <c r="AD148" s="1007"/>
      <c r="AE148" s="1007"/>
      <c r="AF148" s="1007"/>
      <c r="AG148" s="1007"/>
      <c r="AH148" s="1007"/>
      <c r="AI148" s="1007"/>
      <c r="AJ148" s="1007"/>
      <c r="AK148" s="1007"/>
      <c r="AL148" s="1007"/>
      <c r="AM148" s="1007"/>
      <c r="AN148" s="1007"/>
      <c r="AO148" s="1007"/>
      <c r="AP148" s="1007"/>
      <c r="AQ148" s="1007"/>
      <c r="AR148" s="1007"/>
      <c r="AS148" s="1007"/>
      <c r="AT148" s="1007"/>
      <c r="AU148" s="1007"/>
      <c r="AV148" s="1007"/>
      <c r="AW148" s="1007"/>
      <c r="AX148" s="1007"/>
      <c r="AY148" s="1007"/>
      <c r="AZ148" s="1007"/>
      <c r="BA148" s="1007"/>
      <c r="BB148" s="1007"/>
      <c r="BC148" s="1007"/>
      <c r="BD148" s="1007"/>
    </row>
    <row r="149" spans="1:56" x14ac:dyDescent="0.2">
      <c r="A149" s="315"/>
      <c r="B149" s="315"/>
      <c r="C149" s="315"/>
      <c r="D149" s="315"/>
      <c r="E149" s="315"/>
      <c r="F149" s="315"/>
      <c r="G149" s="315"/>
      <c r="H149" s="315"/>
      <c r="I149" s="338"/>
      <c r="J149" s="338"/>
      <c r="K149" s="338"/>
      <c r="L149" s="338"/>
      <c r="M149" s="1007"/>
      <c r="N149" s="1007"/>
      <c r="O149" s="1007"/>
      <c r="P149" s="1007"/>
      <c r="Q149" s="1007"/>
      <c r="R149" s="1007"/>
      <c r="S149" s="1007"/>
      <c r="T149" s="1007"/>
      <c r="U149" s="1007"/>
      <c r="V149" s="1007"/>
      <c r="W149" s="1007"/>
      <c r="X149" s="1007"/>
      <c r="Y149" s="1007"/>
      <c r="Z149" s="1007"/>
      <c r="AA149" s="1007"/>
      <c r="AB149" s="1007"/>
      <c r="AC149" s="1007"/>
      <c r="AD149" s="1007"/>
      <c r="AE149" s="1007"/>
      <c r="AF149" s="1007"/>
      <c r="AG149" s="1007"/>
      <c r="AH149" s="1007"/>
      <c r="AI149" s="1007"/>
      <c r="AJ149" s="1007"/>
      <c r="AK149" s="1007"/>
      <c r="AL149" s="1007"/>
      <c r="AM149" s="1007"/>
      <c r="AN149" s="1007"/>
      <c r="AO149" s="1007"/>
      <c r="AP149" s="1007"/>
      <c r="AQ149" s="1007"/>
      <c r="AR149" s="1007"/>
      <c r="AS149" s="1007"/>
      <c r="AT149" s="1007"/>
      <c r="AU149" s="1007"/>
      <c r="AV149" s="1007"/>
      <c r="AW149" s="1007"/>
      <c r="AX149" s="1007"/>
      <c r="AY149" s="1007"/>
      <c r="AZ149" s="1007"/>
      <c r="BA149" s="1007"/>
      <c r="BB149" s="1007"/>
      <c r="BC149" s="1007"/>
      <c r="BD149" s="1007"/>
    </row>
    <row r="150" spans="1:56" x14ac:dyDescent="0.2">
      <c r="A150" s="315"/>
      <c r="B150" s="315"/>
      <c r="C150" s="315"/>
      <c r="D150" s="315"/>
      <c r="E150" s="315"/>
      <c r="F150" s="315"/>
      <c r="G150" s="315"/>
      <c r="H150" s="315"/>
      <c r="I150" s="338"/>
      <c r="J150" s="338"/>
      <c r="K150" s="338"/>
      <c r="L150" s="338"/>
      <c r="M150" s="1007"/>
      <c r="N150" s="1007"/>
      <c r="O150" s="1007"/>
      <c r="P150" s="1007"/>
      <c r="Q150" s="1007"/>
      <c r="R150" s="1007"/>
      <c r="S150" s="1007"/>
      <c r="T150" s="1007"/>
      <c r="U150" s="1007"/>
      <c r="V150" s="1007"/>
      <c r="W150" s="1007"/>
      <c r="X150" s="1007"/>
      <c r="Y150" s="1007"/>
      <c r="Z150" s="1007"/>
      <c r="AA150" s="1007"/>
      <c r="AB150" s="1007"/>
      <c r="AC150" s="1007"/>
      <c r="AD150" s="1007"/>
      <c r="AE150" s="1007"/>
      <c r="AF150" s="1007"/>
      <c r="AG150" s="1007"/>
      <c r="AH150" s="1007"/>
      <c r="AI150" s="1007"/>
      <c r="AJ150" s="1007"/>
      <c r="AK150" s="1007"/>
      <c r="AL150" s="1007"/>
      <c r="AM150" s="1007"/>
      <c r="AN150" s="1007"/>
      <c r="AO150" s="1007"/>
      <c r="AP150" s="1007"/>
      <c r="AQ150" s="1007"/>
      <c r="AR150" s="1007"/>
      <c r="AS150" s="1007"/>
      <c r="AT150" s="1007"/>
      <c r="AU150" s="1007"/>
      <c r="AV150" s="1007"/>
      <c r="AW150" s="1007"/>
      <c r="AX150" s="1007"/>
      <c r="AY150" s="1007"/>
      <c r="AZ150" s="1007"/>
      <c r="BA150" s="1007"/>
      <c r="BB150" s="1007"/>
      <c r="BC150" s="1007"/>
      <c r="BD150" s="1007"/>
    </row>
  </sheetData>
  <sheetProtection selectLockedCells="1"/>
  <mergeCells count="2">
    <mergeCell ref="F1:G1"/>
    <mergeCell ref="O1:P1"/>
  </mergeCells>
  <phoneticPr fontId="0" type="noConversion"/>
  <dataValidations count="5">
    <dataValidation operator="lessThan" allowBlank="1" showInputMessage="1" showErrorMessage="1" sqref="A5:A31" xr:uid="{00000000-0002-0000-0A00-000000000000}"/>
    <dataValidation allowBlank="1" showInputMessage="1" showErrorMessage="1" sqref="B13:B14"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9" xr:uid="{00000000-0002-0000-0A00-000003000000}"/>
    <dataValidation type="whole" operator="lessThan" allowBlank="1" showInputMessage="1" showErrorMessage="1" sqref="B6 S2:Z74"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s>
  <printOptions horizontalCentered="1"/>
  <pageMargins left="0.98425196850393704" right="0.59055118110236227" top="0.98425196850393704" bottom="0.70866141732283472" header="0.51181102362204722" footer="0.51181102362204722"/>
  <pageSetup paperSize="9" scale="85" fitToHeight="2" orientation="portrait" blackAndWhite="1" horizontalDpi="4294967292" r:id="rId1"/>
  <headerFooter alignWithMargins="0">
    <oddHeader>&amp;L&amp;"Verdana,Standard"&amp;10ÖSTERREICHISCHES FILMINSTITUT
2023 Version 23.1&amp;R&amp;"Verdana,Fett"ANLAGE 3</oddHeader>
    <oddFooter>&amp;L&amp;"Verdana,Standard"&amp;10Ausdruck vom &amp;D&amp;R&amp;"Verdana,Standard"&amp;10Seite &amp;P von &amp;N</oddFooter>
  </headerFooter>
  <ignoredErrors>
    <ignoredError sqref="C8:D11 D5 A35:A42 A46:D53 E45 E52 A66:C66 C13:D16 C12 C17 C32:D33 D7 A67:C67 E67 C29 E12:E17 D74 E31:E34 E29 C35:D35 C34 B45:C45 B56:C56 E56 A58:C58 E66 C31 A57:C57 E57 A62:E64 A59:C59 E59 A60:C60 E60 A61:C61 E61 E58" unlockedFormula="1"/>
    <ignoredError sqref="J4 J34 J45 J56 J67 I40:I41 I51:I52 I6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47625</xdr:colOff>
                    <xdr:row>17</xdr:row>
                    <xdr:rowOff>95250</xdr:rowOff>
                  </from>
                  <to>
                    <xdr:col>1</xdr:col>
                    <xdr:colOff>285750</xdr:colOff>
                    <xdr:row>19</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47625</xdr:colOff>
                    <xdr:row>18</xdr:row>
                    <xdr:rowOff>114300</xdr:rowOff>
                  </from>
                  <to>
                    <xdr:col>1</xdr:col>
                    <xdr:colOff>285750</xdr:colOff>
                    <xdr:row>20</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J561"/>
  <sheetViews>
    <sheetView zoomScaleNormal="100" workbookViewId="0">
      <pane ySplit="2" topLeftCell="A143" activePane="bottomLeft" state="frozen"/>
      <selection pane="bottomLeft" activeCell="AV10" sqref="AV10"/>
    </sheetView>
  </sheetViews>
  <sheetFormatPr baseColWidth="10" defaultColWidth="11.5" defaultRowHeight="12.75" outlineLevelRow="1" outlineLevelCol="2" x14ac:dyDescent="0.2"/>
  <cols>
    <col min="1" max="1" width="5.25" style="27" customWidth="1"/>
    <col min="2" max="2" width="29.625" style="26" customWidth="1"/>
    <col min="3" max="3" width="9.75" style="32" bestFit="1" customWidth="1"/>
    <col min="4" max="4" width="7.375" style="41" bestFit="1" customWidth="1"/>
    <col min="5" max="5" width="11.125" style="42" customWidth="1"/>
    <col min="6" max="6" width="2.625" style="42" customWidth="1"/>
    <col min="7" max="7" width="11.625" style="42" customWidth="1"/>
    <col min="8" max="8" width="10.5" style="28" bestFit="1" customWidth="1"/>
    <col min="9" max="9" width="3.125" style="136" customWidth="1"/>
    <col min="10" max="11" width="3.125" style="28" customWidth="1" outlineLevel="1"/>
    <col min="12" max="12" width="9.375" style="28" customWidth="1" outlineLevel="1"/>
    <col min="13" max="13" width="8.25" style="28" customWidth="1" outlineLevel="1"/>
    <col min="14" max="14" width="3.125" style="42" customWidth="1" outlineLevel="1"/>
    <col min="15" max="15" width="11.875" style="778" bestFit="1" customWidth="1"/>
    <col min="16" max="16" width="12.375" style="778" bestFit="1" customWidth="1"/>
    <col min="17" max="18" width="11.625" style="778" hidden="1" customWidth="1" outlineLevel="1"/>
    <col min="19" max="19" width="3.125" style="778" customWidth="1" collapsed="1"/>
    <col min="20" max="22" width="10.625" style="778" hidden="1" customWidth="1" outlineLevel="1"/>
    <col min="23" max="23" width="12.375" style="778" hidden="1" customWidth="1" outlineLevel="1"/>
    <col min="24" max="25" width="10.625" style="778" hidden="1" customWidth="1" outlineLevel="1"/>
    <col min="26" max="27" width="10.625" style="778" hidden="1" customWidth="1" outlineLevel="2"/>
    <col min="28" max="28" width="3.125" style="28" hidden="1" customWidth="1" outlineLevel="1" collapsed="1"/>
    <col min="29" max="29" width="3.125" style="28" customWidth="1" collapsed="1"/>
    <col min="30" max="30" width="12.25" style="42" hidden="1" customWidth="1" outlineLevel="1"/>
    <col min="31" max="32" width="11.625" style="42" hidden="1" customWidth="1" outlineLevel="2"/>
    <col min="33" max="33" width="12.625" style="24" hidden="1" customWidth="1" outlineLevel="1"/>
    <col min="34" max="34" width="5.625" style="25" customWidth="1" collapsed="1"/>
    <col min="35" max="35" width="9.25" style="144" hidden="1" customWidth="1"/>
    <col min="36" max="36" width="7.5" style="144" hidden="1" customWidth="1"/>
    <col min="37" max="37" width="10.125" style="144" hidden="1" customWidth="1"/>
    <col min="38" max="38" width="10.75" style="144" hidden="1" customWidth="1"/>
    <col min="39" max="40" width="10.375" style="144" hidden="1" customWidth="1"/>
    <col min="41" max="41" width="5.625" style="144" hidden="1" customWidth="1"/>
    <col min="42" max="42" width="49.75" style="24" hidden="1" customWidth="1"/>
    <col min="43" max="43" width="38" style="194" hidden="1" customWidth="1"/>
    <col min="44" max="46" width="10.125" style="24" customWidth="1"/>
    <col min="47" max="47" width="11.125" style="24" bestFit="1" customWidth="1"/>
    <col min="48" max="48" width="12.375" style="24" bestFit="1" customWidth="1"/>
    <col min="49" max="16384" width="11.5" style="24"/>
  </cols>
  <sheetData>
    <row r="1" spans="1:78" s="23" customFormat="1" ht="18" x14ac:dyDescent="0.2">
      <c r="A1" s="653" t="str">
        <f>Stammblatt!A1</f>
        <v>Projekttitel</v>
      </c>
      <c r="B1" s="389"/>
      <c r="C1" s="390"/>
      <c r="D1" s="391"/>
      <c r="E1" s="392"/>
      <c r="F1" s="392"/>
      <c r="G1" s="392"/>
      <c r="H1" s="393"/>
      <c r="I1" s="394"/>
      <c r="J1" s="393"/>
      <c r="K1" s="393"/>
      <c r="L1" s="393"/>
      <c r="M1" s="393"/>
      <c r="N1" s="392"/>
      <c r="O1" s="1174" t="s">
        <v>1129</v>
      </c>
      <c r="P1" s="1175"/>
      <c r="Q1" s="1175"/>
      <c r="R1" s="1175"/>
      <c r="S1" s="1075"/>
      <c r="T1" s="1168" t="str">
        <f>IF(Stammblatt!$L$4=1,"Kostenstand Österreich per","Cost report Austria of")</f>
        <v>Kostenstand Österreich per</v>
      </c>
      <c r="U1" s="1168"/>
      <c r="V1" s="1168"/>
      <c r="W1" s="1168"/>
      <c r="X1" s="1168"/>
      <c r="Y1" s="732" t="s">
        <v>1067</v>
      </c>
      <c r="Z1" s="733"/>
      <c r="AA1" s="733"/>
      <c r="AB1" s="726"/>
      <c r="AC1" s="393"/>
      <c r="AD1" s="1171" t="s">
        <v>1068</v>
      </c>
      <c r="AE1" s="1172"/>
      <c r="AF1" s="1173"/>
      <c r="AG1" s="392"/>
      <c r="AH1" s="395"/>
      <c r="AI1" s="396"/>
      <c r="AJ1" s="396"/>
      <c r="AK1" s="396"/>
      <c r="AL1" s="396"/>
      <c r="AM1" s="396"/>
      <c r="AN1" s="396"/>
      <c r="AO1" s="396"/>
      <c r="AP1" s="397"/>
      <c r="AQ1" s="292"/>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row>
    <row r="2" spans="1:78" ht="25.5" x14ac:dyDescent="0.2">
      <c r="A2" s="398"/>
      <c r="B2" s="218"/>
      <c r="C2" s="399"/>
      <c r="D2" s="391"/>
      <c r="E2" s="400" t="str">
        <f>IF(D2=1,1,"")</f>
        <v/>
      </c>
      <c r="F2" s="400"/>
      <c r="G2" s="714">
        <f>IF(Stammblatt!I31=TRUE,"",Stammblatt!B11)</f>
        <v>0</v>
      </c>
      <c r="H2" s="401"/>
      <c r="I2" s="402"/>
      <c r="J2" s="1165" t="s">
        <v>647</v>
      </c>
      <c r="K2" s="1166"/>
      <c r="L2" s="1166"/>
      <c r="M2" s="1166"/>
      <c r="N2" s="1167"/>
      <c r="O2" s="734" t="s">
        <v>574</v>
      </c>
      <c r="P2" s="735" t="s">
        <v>954</v>
      </c>
      <c r="Q2" s="993" t="s">
        <v>1034</v>
      </c>
      <c r="R2" s="993" t="s">
        <v>1034</v>
      </c>
      <c r="S2" s="736"/>
      <c r="T2" s="810" t="str">
        <f>IF(Stammblatt!$L$4=1,"IST-Kosten","Costs incurred")</f>
        <v>IST-Kosten</v>
      </c>
      <c r="U2" s="811" t="str">
        <f>IF(Stammblatt!$L$4=1,"noch zu erwarten","Costs to be expected")</f>
        <v>noch zu erwarten</v>
      </c>
      <c r="V2" s="812" t="str">
        <f>IF(Stammblatt!$L$4=1,"Endkosten","Final costs")</f>
        <v>Endkosten</v>
      </c>
      <c r="W2" s="738" t="s">
        <v>246</v>
      </c>
      <c r="X2" s="739" t="s">
        <v>575</v>
      </c>
      <c r="Y2" s="735" t="s">
        <v>1035</v>
      </c>
      <c r="Z2" s="993" t="s">
        <v>1034</v>
      </c>
      <c r="AA2" s="993" t="s">
        <v>1034</v>
      </c>
      <c r="AB2" s="726"/>
      <c r="AC2" s="401"/>
      <c r="AD2" s="404" t="str">
        <f>Stammblatt!B34</f>
        <v>A</v>
      </c>
      <c r="AE2" s="404" t="str">
        <f>Stammblatt!B35</f>
        <v>B</v>
      </c>
      <c r="AF2" s="404" t="str">
        <f>Stammblatt!B36</f>
        <v>C</v>
      </c>
      <c r="AG2" s="722" t="s">
        <v>148</v>
      </c>
      <c r="AH2" s="405"/>
      <c r="AI2" s="405"/>
      <c r="AJ2" s="405"/>
      <c r="AK2" s="405"/>
      <c r="AL2" s="405"/>
      <c r="AM2" s="405"/>
      <c r="AN2" s="405"/>
      <c r="AO2" s="405"/>
      <c r="AP2" s="281"/>
      <c r="AQ2" s="292"/>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row>
    <row r="3" spans="1:78" s="25" customFormat="1" x14ac:dyDescent="0.2">
      <c r="A3" s="406"/>
      <c r="B3" s="296" t="str">
        <f>IF(Stammblatt!$L$4=1,'Kalkulation Herstellungskosten'!AP3,'Kalkulation Herstellungskosten'!AQ3)</f>
        <v>1. Vorkosten (Stoff- und Projektentwicklung)</v>
      </c>
      <c r="C3" s="403"/>
      <c r="D3" s="407"/>
      <c r="E3" s="408"/>
      <c r="F3" s="408"/>
      <c r="G3" s="408"/>
      <c r="H3" s="401"/>
      <c r="I3" s="402"/>
      <c r="J3" s="409"/>
      <c r="K3" s="401"/>
      <c r="L3" s="401"/>
      <c r="M3" s="401"/>
      <c r="N3" s="410"/>
      <c r="O3" s="737"/>
      <c r="P3" s="737"/>
      <c r="Q3" s="737"/>
      <c r="R3" s="737"/>
      <c r="S3" s="737"/>
      <c r="T3" s="740"/>
      <c r="U3" s="441"/>
      <c r="V3" s="441"/>
      <c r="W3" s="441"/>
      <c r="X3" s="441"/>
      <c r="Y3" s="441"/>
      <c r="Z3" s="441"/>
      <c r="AA3" s="441"/>
      <c r="AB3" s="726"/>
      <c r="AC3" s="401"/>
      <c r="AD3" s="412"/>
      <c r="AE3" s="412"/>
      <c r="AF3" s="412"/>
      <c r="AG3" s="408"/>
      <c r="AH3" s="405"/>
      <c r="AI3" s="405"/>
      <c r="AJ3" s="405"/>
      <c r="AK3" s="405"/>
      <c r="AL3" s="405"/>
      <c r="AM3" s="405"/>
      <c r="AN3" s="405"/>
      <c r="AO3" s="405"/>
      <c r="AP3" s="258" t="s">
        <v>1099</v>
      </c>
      <c r="AQ3" s="258" t="s">
        <v>1100</v>
      </c>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row>
    <row r="4" spans="1:78" x14ac:dyDescent="0.2">
      <c r="A4" s="1057" t="s">
        <v>1124</v>
      </c>
      <c r="B4" s="423" t="str">
        <f>IF(Stammblatt!$L$4=1,'Kalkulation Herstellungskosten'!AP4,'Kalkulation Herstellungskosten'!AQ4)</f>
        <v>Vorkosten gefördert [exkl. Prod. Hon. &amp; FGK] *)</v>
      </c>
      <c r="C4" s="424"/>
      <c r="D4" s="425"/>
      <c r="E4" s="426"/>
      <c r="F4" s="426"/>
      <c r="G4" s="37"/>
      <c r="H4" s="427"/>
      <c r="I4" s="428"/>
      <c r="J4" s="429"/>
      <c r="K4" s="427"/>
      <c r="L4" s="427"/>
      <c r="M4" s="427"/>
      <c r="N4" s="430"/>
      <c r="O4" s="741"/>
      <c r="P4" s="742"/>
      <c r="Q4" s="743"/>
      <c r="R4" s="741"/>
      <c r="S4" s="737"/>
      <c r="T4" s="743"/>
      <c r="U4" s="741"/>
      <c r="V4" s="779">
        <f>SUM(T4:U4)</f>
        <v>0</v>
      </c>
      <c r="W4" s="562">
        <f>G4-V4</f>
        <v>0</v>
      </c>
      <c r="X4" s="741"/>
      <c r="Y4" s="744"/>
      <c r="Z4" s="743"/>
      <c r="AA4" s="741"/>
      <c r="AB4" s="726"/>
      <c r="AC4" s="401"/>
      <c r="AD4" s="92"/>
      <c r="AE4" s="92"/>
      <c r="AF4" s="92"/>
      <c r="AG4" s="561">
        <f>SUM(G4,AD4:AF4)</f>
        <v>0</v>
      </c>
      <c r="AH4" s="405"/>
      <c r="AI4" s="405"/>
      <c r="AJ4" s="405"/>
      <c r="AK4" s="405"/>
      <c r="AL4" s="405"/>
      <c r="AM4" s="405"/>
      <c r="AN4" s="405"/>
      <c r="AO4" s="405"/>
      <c r="AP4" s="258" t="s">
        <v>1101</v>
      </c>
      <c r="AQ4" s="258" t="s">
        <v>1103</v>
      </c>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row>
    <row r="5" spans="1:78" x14ac:dyDescent="0.2">
      <c r="A5" s="1058" t="s">
        <v>1125</v>
      </c>
      <c r="B5" s="716" t="str">
        <f>IF(Stammblatt!$L$4=1,'Kalkulation Herstellungskosten'!AP5,'Kalkulation Herstellungskosten'!AQ5)</f>
        <v>Vorkosten eigenfinanziert [exkl. Prod. Hon. &amp; FGK] *)</v>
      </c>
      <c r="C5" s="424"/>
      <c r="D5" s="425"/>
      <c r="E5" s="426"/>
      <c r="F5" s="426"/>
      <c r="G5" s="37"/>
      <c r="H5" s="427"/>
      <c r="I5" s="428"/>
      <c r="J5" s="429"/>
      <c r="K5" s="427"/>
      <c r="L5" s="427"/>
      <c r="M5" s="427"/>
      <c r="N5" s="430"/>
      <c r="O5" s="741"/>
      <c r="P5" s="742"/>
      <c r="Q5" s="743"/>
      <c r="R5" s="741"/>
      <c r="S5" s="737"/>
      <c r="T5" s="743"/>
      <c r="U5" s="741"/>
      <c r="V5" s="779">
        <f>SUM(T5:U5)</f>
        <v>0</v>
      </c>
      <c r="W5" s="562">
        <f>G5-V5</f>
        <v>0</v>
      </c>
      <c r="X5" s="741"/>
      <c r="Y5" s="744"/>
      <c r="Z5" s="743"/>
      <c r="AA5" s="741"/>
      <c r="AB5" s="726"/>
      <c r="AC5" s="401"/>
      <c r="AD5" s="92"/>
      <c r="AE5" s="92"/>
      <c r="AF5" s="92"/>
      <c r="AG5" s="561">
        <f>SUM(G5,AD5:AF5)</f>
        <v>0</v>
      </c>
      <c r="AH5" s="405"/>
      <c r="AI5" s="405"/>
      <c r="AJ5" s="405"/>
      <c r="AK5" s="405"/>
      <c r="AL5" s="405"/>
      <c r="AM5" s="405"/>
      <c r="AN5" s="405"/>
      <c r="AO5" s="405"/>
      <c r="AP5" s="258" t="s">
        <v>1102</v>
      </c>
      <c r="AQ5" s="258" t="s">
        <v>1104</v>
      </c>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row>
    <row r="6" spans="1:78" x14ac:dyDescent="0.2">
      <c r="A6" s="398"/>
      <c r="B6" s="286"/>
      <c r="C6" s="399"/>
      <c r="D6" s="391"/>
      <c r="E6" s="400"/>
      <c r="F6" s="400"/>
      <c r="G6" s="400"/>
      <c r="H6" s="431"/>
      <c r="I6" s="394"/>
      <c r="J6" s="432"/>
      <c r="K6" s="431"/>
      <c r="L6" s="431"/>
      <c r="M6" s="431"/>
      <c r="N6" s="433"/>
      <c r="O6" s="745"/>
      <c r="P6" s="745"/>
      <c r="Q6" s="745"/>
      <c r="R6" s="745"/>
      <c r="S6" s="737"/>
      <c r="T6" s="746"/>
      <c r="U6" s="435"/>
      <c r="V6" s="435"/>
      <c r="W6" s="434"/>
      <c r="X6" s="435"/>
      <c r="Y6" s="745"/>
      <c r="Z6" s="745"/>
      <c r="AA6" s="745"/>
      <c r="AB6" s="726"/>
      <c r="AC6" s="401"/>
      <c r="AD6" s="495"/>
      <c r="AE6" s="495"/>
      <c r="AF6" s="495"/>
      <c r="AG6" s="400"/>
      <c r="AH6" s="405"/>
      <c r="AI6" s="405"/>
      <c r="AJ6" s="405"/>
      <c r="AK6" s="405"/>
      <c r="AL6" s="405"/>
      <c r="AM6" s="405"/>
      <c r="AN6" s="405"/>
      <c r="AO6" s="405"/>
      <c r="AP6" s="258"/>
      <c r="AQ6" s="258"/>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x14ac:dyDescent="0.2">
      <c r="A7" s="398"/>
      <c r="B7" s="286"/>
      <c r="C7" s="399"/>
      <c r="D7" s="391"/>
      <c r="E7" s="400"/>
      <c r="F7" s="400"/>
      <c r="G7" s="400"/>
      <c r="H7" s="431"/>
      <c r="I7" s="394"/>
      <c r="J7" s="432"/>
      <c r="K7" s="431"/>
      <c r="L7" s="431"/>
      <c r="M7" s="431"/>
      <c r="N7" s="433"/>
      <c r="O7" s="745"/>
      <c r="P7" s="745"/>
      <c r="Q7" s="745"/>
      <c r="R7" s="745"/>
      <c r="S7" s="737"/>
      <c r="T7" s="746"/>
      <c r="U7" s="435"/>
      <c r="V7" s="435"/>
      <c r="W7" s="434"/>
      <c r="X7" s="435"/>
      <c r="Y7" s="745"/>
      <c r="Z7" s="745"/>
      <c r="AA7" s="745"/>
      <c r="AB7" s="726"/>
      <c r="AC7" s="401"/>
      <c r="AD7" s="482"/>
      <c r="AE7" s="482"/>
      <c r="AF7" s="482"/>
      <c r="AG7" s="400"/>
      <c r="AH7" s="405"/>
      <c r="AI7" s="405"/>
      <c r="AJ7" s="405"/>
      <c r="AK7" s="405"/>
      <c r="AL7" s="405"/>
      <c r="AM7" s="405"/>
      <c r="AN7" s="405"/>
      <c r="AO7" s="405"/>
      <c r="AP7" s="258"/>
      <c r="AQ7" s="258"/>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x14ac:dyDescent="0.2">
      <c r="A8" s="111"/>
      <c r="B8" s="65" t="str">
        <f>IF(Stammblatt!$L$4=1,'Kalkulation Herstellungskosten'!AP8,'Kalkulation Herstellungskosten'!AQ8)</f>
        <v>Σ-Vorkosten</v>
      </c>
      <c r="C8" s="31"/>
      <c r="D8" s="40"/>
      <c r="E8" s="39"/>
      <c r="F8" s="39"/>
      <c r="G8" s="1072">
        <f>SUM(G4:G7)</f>
        <v>0</v>
      </c>
      <c r="H8" s="30"/>
      <c r="I8" s="134"/>
      <c r="J8" s="140"/>
      <c r="K8" s="30"/>
      <c r="L8" s="1071"/>
      <c r="M8" s="138"/>
      <c r="N8" s="141"/>
      <c r="O8" s="1072">
        <f>SUM(O4:O7)</f>
        <v>0</v>
      </c>
      <c r="P8" s="1072">
        <f>SUM(P4:P7)</f>
        <v>0</v>
      </c>
      <c r="Q8" s="1073">
        <f t="shared" ref="Q8:R8" si="0">SUM(Q4:Q7)</f>
        <v>0</v>
      </c>
      <c r="R8" s="1073">
        <f t="shared" si="0"/>
        <v>0</v>
      </c>
      <c r="S8" s="737"/>
      <c r="T8" s="748">
        <f>SUM(T4:T7)</f>
        <v>0</v>
      </c>
      <c r="U8" s="113">
        <f>SUM(U4:U7)</f>
        <v>0</v>
      </c>
      <c r="V8" s="113">
        <f>SUM(V4:V7)</f>
        <v>0</v>
      </c>
      <c r="W8" s="149">
        <f>ZS_1_Vorkosten-V8</f>
        <v>0</v>
      </c>
      <c r="X8" s="113">
        <f>SUM(X4:X7)</f>
        <v>0</v>
      </c>
      <c r="Y8" s="113">
        <f>SUM(Y4:Y7)</f>
        <v>0</v>
      </c>
      <c r="Z8" s="113">
        <f t="shared" ref="Z8:AA8" si="1">SUM(Z4:Z7)</f>
        <v>0</v>
      </c>
      <c r="AA8" s="113">
        <f t="shared" si="1"/>
        <v>0</v>
      </c>
      <c r="AB8" s="726"/>
      <c r="AC8" s="401"/>
      <c r="AD8" s="1073">
        <f t="shared" ref="AD8:AF8" si="2">SUM(AD4:AD7)</f>
        <v>0</v>
      </c>
      <c r="AE8" s="1073">
        <f t="shared" si="2"/>
        <v>0</v>
      </c>
      <c r="AF8" s="1073">
        <f t="shared" si="2"/>
        <v>0</v>
      </c>
      <c r="AG8" s="39">
        <f>SUM(G8,AD8:AF8)</f>
        <v>0</v>
      </c>
      <c r="AH8" s="405"/>
      <c r="AI8" s="405"/>
      <c r="AJ8" s="405"/>
      <c r="AK8" s="405"/>
      <c r="AL8" s="405"/>
      <c r="AM8" s="405"/>
      <c r="AN8" s="405"/>
      <c r="AO8" s="405"/>
      <c r="AP8" s="258" t="s">
        <v>234</v>
      </c>
      <c r="AQ8" s="258" t="s">
        <v>453</v>
      </c>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x14ac:dyDescent="0.2">
      <c r="A9" s="398"/>
      <c r="B9" s="286"/>
      <c r="C9" s="399"/>
      <c r="D9" s="391"/>
      <c r="E9" s="400"/>
      <c r="F9" s="400"/>
      <c r="G9" s="400"/>
      <c r="H9" s="431"/>
      <c r="I9" s="394"/>
      <c r="J9" s="432"/>
      <c r="K9" s="431"/>
      <c r="L9" s="431"/>
      <c r="M9" s="431"/>
      <c r="N9" s="433"/>
      <c r="O9" s="745"/>
      <c r="P9" s="745"/>
      <c r="Q9" s="745"/>
      <c r="R9" s="745"/>
      <c r="S9" s="737"/>
      <c r="T9" s="746"/>
      <c r="U9" s="435"/>
      <c r="V9" s="435"/>
      <c r="W9" s="435"/>
      <c r="X9" s="435"/>
      <c r="Y9" s="745"/>
      <c r="Z9" s="745"/>
      <c r="AA9" s="745"/>
      <c r="AB9" s="726"/>
      <c r="AC9" s="401"/>
      <c r="AD9" s="400"/>
      <c r="AE9" s="400"/>
      <c r="AF9" s="400"/>
      <c r="AG9" s="400"/>
      <c r="AH9" s="405"/>
      <c r="AI9" s="405"/>
      <c r="AJ9" s="405"/>
      <c r="AK9" s="405"/>
      <c r="AL9" s="405"/>
      <c r="AM9" s="405"/>
      <c r="AN9" s="405"/>
      <c r="AO9" s="405"/>
      <c r="AP9" s="258"/>
      <c r="AQ9" s="258"/>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row>
    <row r="10" spans="1:78" x14ac:dyDescent="0.2">
      <c r="A10" s="398"/>
      <c r="B10" s="286"/>
      <c r="C10" s="399"/>
      <c r="D10" s="391"/>
      <c r="E10" s="400"/>
      <c r="F10" s="400"/>
      <c r="G10" s="400"/>
      <c r="H10" s="431"/>
      <c r="I10" s="394"/>
      <c r="J10" s="432"/>
      <c r="K10" s="431"/>
      <c r="L10" s="431"/>
      <c r="M10" s="431"/>
      <c r="N10" s="433"/>
      <c r="O10" s="745"/>
      <c r="P10" s="745"/>
      <c r="Q10" s="745"/>
      <c r="R10" s="745"/>
      <c r="S10" s="737"/>
      <c r="T10" s="746"/>
      <c r="U10" s="435"/>
      <c r="V10" s="435"/>
      <c r="W10" s="435"/>
      <c r="X10" s="435"/>
      <c r="Y10" s="745"/>
      <c r="Z10" s="745"/>
      <c r="AA10" s="745"/>
      <c r="AB10" s="726"/>
      <c r="AC10" s="401"/>
      <c r="AD10" s="400"/>
      <c r="AE10" s="400"/>
      <c r="AF10" s="400"/>
      <c r="AG10" s="400"/>
      <c r="AH10" s="405"/>
      <c r="AI10" s="405"/>
      <c r="AJ10" s="405"/>
      <c r="AK10" s="893"/>
      <c r="AL10" s="897" t="s">
        <v>1056</v>
      </c>
      <c r="AM10" s="897" t="s">
        <v>1070</v>
      </c>
      <c r="AN10" s="894" t="s">
        <v>1058</v>
      </c>
      <c r="AO10" s="405"/>
      <c r="AP10" s="258"/>
      <c r="AQ10" s="258"/>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row>
    <row r="11" spans="1:78" s="25" customFormat="1" x14ac:dyDescent="0.2">
      <c r="A11" s="406"/>
      <c r="B11" s="296" t="str">
        <f>IF(Stammblatt!$L$4=1,'Kalkulation Herstellungskosten'!AP11,'Kalkulation Herstellungskosten'!AQ11)</f>
        <v>2. Nutzungsrechte</v>
      </c>
      <c r="C11" s="403"/>
      <c r="D11" s="436" t="s">
        <v>626</v>
      </c>
      <c r="E11" s="437"/>
      <c r="F11" s="437"/>
      <c r="G11" s="437"/>
      <c r="H11" s="436" t="s">
        <v>650</v>
      </c>
      <c r="I11" s="438"/>
      <c r="J11" s="439" t="s">
        <v>581</v>
      </c>
      <c r="K11" s="436" t="s">
        <v>582</v>
      </c>
      <c r="L11" s="391" t="s">
        <v>583</v>
      </c>
      <c r="M11" s="391" t="s">
        <v>584</v>
      </c>
      <c r="N11" s="440"/>
      <c r="O11" s="737"/>
      <c r="P11" s="737"/>
      <c r="Q11" s="737"/>
      <c r="R11" s="737"/>
      <c r="S11" s="737"/>
      <c r="T11" s="740"/>
      <c r="U11" s="441"/>
      <c r="V11" s="441"/>
      <c r="W11" s="441"/>
      <c r="X11" s="441"/>
      <c r="Y11" s="737"/>
      <c r="Z11" s="737"/>
      <c r="AA11" s="737"/>
      <c r="AB11" s="726"/>
      <c r="AC11" s="401"/>
      <c r="AD11" s="408"/>
      <c r="AE11" s="408"/>
      <c r="AF11" s="408"/>
      <c r="AG11" s="408"/>
      <c r="AH11" s="557"/>
      <c r="AI11" s="415" t="s">
        <v>649</v>
      </c>
      <c r="AJ11" s="415" t="s">
        <v>626</v>
      </c>
      <c r="AK11" s="894" t="s">
        <v>1055</v>
      </c>
      <c r="AL11" s="894" t="s">
        <v>1057</v>
      </c>
      <c r="AM11" s="894" t="s">
        <v>650</v>
      </c>
      <c r="AN11" s="894" t="s">
        <v>1059</v>
      </c>
      <c r="AO11" s="413"/>
      <c r="AP11" s="258" t="s">
        <v>32</v>
      </c>
      <c r="AQ11" s="258" t="s">
        <v>341</v>
      </c>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row>
    <row r="12" spans="1:78" x14ac:dyDescent="0.2">
      <c r="A12" s="422">
        <v>2</v>
      </c>
      <c r="B12" s="423" t="str">
        <f>IF(Stammblatt!$L$4=1,'Kalkulation Herstellungskosten'!AP12,'Kalkulation Herstellungskosten'!AQ12)</f>
        <v>Verfilmungsrechte</v>
      </c>
      <c r="C12" s="424"/>
      <c r="D12" s="425"/>
      <c r="E12" s="426"/>
      <c r="F12" s="426"/>
      <c r="G12" s="37"/>
      <c r="H12" s="427"/>
      <c r="I12" s="428"/>
      <c r="J12" s="429"/>
      <c r="K12" s="427"/>
      <c r="L12" s="427"/>
      <c r="M12" s="427"/>
      <c r="N12" s="444"/>
      <c r="O12" s="741"/>
      <c r="P12" s="742"/>
      <c r="Q12" s="743"/>
      <c r="R12" s="741"/>
      <c r="S12" s="737"/>
      <c r="T12" s="743"/>
      <c r="U12" s="741"/>
      <c r="V12" s="779">
        <f t="shared" ref="V12:V22" si="3">SUM(T12:U12)</f>
        <v>0</v>
      </c>
      <c r="W12" s="562">
        <f t="shared" ref="W12:W22" si="4">G12-V12</f>
        <v>0</v>
      </c>
      <c r="X12" s="741"/>
      <c r="Y12" s="744"/>
      <c r="Z12" s="743"/>
      <c r="AA12" s="741"/>
      <c r="AB12" s="726"/>
      <c r="AC12" s="401"/>
      <c r="AD12" s="92"/>
      <c r="AE12" s="92"/>
      <c r="AF12" s="92"/>
      <c r="AG12" s="561">
        <f t="shared" ref="AG12:AG22" si="5">SUM(G12,AD12:AF12)</f>
        <v>0</v>
      </c>
      <c r="AH12" s="405"/>
      <c r="AI12" s="405"/>
      <c r="AJ12" s="405"/>
      <c r="AK12" s="895"/>
      <c r="AL12" s="895"/>
      <c r="AM12" s="895"/>
      <c r="AN12" s="895"/>
      <c r="AO12" s="405"/>
      <c r="AP12" s="258" t="s">
        <v>33</v>
      </c>
      <c r="AQ12" s="258" t="s">
        <v>342</v>
      </c>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row>
    <row r="13" spans="1:78" x14ac:dyDescent="0.2">
      <c r="A13" s="422">
        <v>3</v>
      </c>
      <c r="B13" s="423" t="str">
        <f>IF(Stammblatt!$L$4=1,'Kalkulation Herstellungskosten'!AP13,'Kalkulation Herstellungskosten'!AQ13)</f>
        <v>Treatment</v>
      </c>
      <c r="C13" s="424"/>
      <c r="D13" s="425"/>
      <c r="E13" s="426"/>
      <c r="F13" s="426"/>
      <c r="G13" s="37"/>
      <c r="H13" s="427"/>
      <c r="I13" s="428"/>
      <c r="J13" s="429"/>
      <c r="K13" s="427"/>
      <c r="L13" s="427"/>
      <c r="M13" s="427"/>
      <c r="N13" s="444"/>
      <c r="O13" s="741"/>
      <c r="P13" s="742"/>
      <c r="Q13" s="743"/>
      <c r="R13" s="741"/>
      <c r="S13" s="737"/>
      <c r="T13" s="743"/>
      <c r="U13" s="741"/>
      <c r="V13" s="779">
        <f t="shared" si="3"/>
        <v>0</v>
      </c>
      <c r="W13" s="562">
        <f t="shared" si="4"/>
        <v>0</v>
      </c>
      <c r="X13" s="741"/>
      <c r="Y13" s="744"/>
      <c r="Z13" s="743"/>
      <c r="AA13" s="741"/>
      <c r="AB13" s="726"/>
      <c r="AC13" s="401"/>
      <c r="AD13" s="92"/>
      <c r="AE13" s="92"/>
      <c r="AF13" s="92"/>
      <c r="AG13" s="561">
        <f t="shared" si="5"/>
        <v>0</v>
      </c>
      <c r="AH13" s="405"/>
      <c r="AI13" s="405"/>
      <c r="AJ13" s="405"/>
      <c r="AK13" s="895"/>
      <c r="AL13" s="895"/>
      <c r="AM13" s="895"/>
      <c r="AN13" s="895"/>
      <c r="AO13" s="405"/>
      <c r="AP13" s="258" t="s">
        <v>34</v>
      </c>
      <c r="AQ13" s="258" t="s">
        <v>34</v>
      </c>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row>
    <row r="14" spans="1:78" ht="12.75" customHeight="1" x14ac:dyDescent="0.2">
      <c r="A14" s="422">
        <v>4</v>
      </c>
      <c r="B14" s="423" t="str">
        <f>IF(Stammblatt!$L$4=1,'Kalkulation Herstellungskosten'!AP14,'Kalkulation Herstellungskosten'!AQ14)</f>
        <v>Drehbuch</v>
      </c>
      <c r="C14" s="442"/>
      <c r="D14" s="425"/>
      <c r="E14" s="426"/>
      <c r="F14" s="443">
        <f>G14</f>
        <v>0</v>
      </c>
      <c r="G14" s="37"/>
      <c r="H14" s="137">
        <f ca="1">AI14</f>
        <v>0</v>
      </c>
      <c r="I14" s="428"/>
      <c r="J14" s="822"/>
      <c r="K14" s="822"/>
      <c r="L14" s="711">
        <f>G14*J14</f>
        <v>0</v>
      </c>
      <c r="M14" s="711">
        <f>G14*K14</f>
        <v>0</v>
      </c>
      <c r="N14" s="821" t="str">
        <f t="shared" ref="N14" si="6">IF((L14+M14)&gt;G14,"?","")</f>
        <v/>
      </c>
      <c r="O14" s="741"/>
      <c r="P14" s="742"/>
      <c r="Q14" s="743"/>
      <c r="R14" s="741"/>
      <c r="S14" s="737"/>
      <c r="T14" s="743"/>
      <c r="U14" s="741"/>
      <c r="V14" s="779">
        <f t="shared" si="3"/>
        <v>0</v>
      </c>
      <c r="W14" s="562">
        <f t="shared" si="4"/>
        <v>0</v>
      </c>
      <c r="X14" s="741"/>
      <c r="Y14" s="744"/>
      <c r="Z14" s="743"/>
      <c r="AA14" s="741"/>
      <c r="AB14" s="726"/>
      <c r="AC14" s="401"/>
      <c r="AD14" s="92"/>
      <c r="AE14" s="92"/>
      <c r="AF14" s="92"/>
      <c r="AG14" s="561">
        <f t="shared" si="5"/>
        <v>0</v>
      </c>
      <c r="AH14" s="405"/>
      <c r="AI14" s="558">
        <f ca="1">ROUND(IF(AJ14=TRUE,AN14*0.8,AN14),-1)</f>
        <v>0</v>
      </c>
      <c r="AJ14" s="414" t="b">
        <v>0</v>
      </c>
      <c r="AK14" s="896">
        <f ca="1">ROUND(Drehbuch_Richtsatz*0.85,-1)</f>
        <v>0</v>
      </c>
      <c r="AL14" s="896">
        <f ca="1">ROUND(Drehbuch_Richtsatz*0.7,-1)</f>
        <v>0</v>
      </c>
      <c r="AM14" s="896">
        <f ca="1">Drehbuch_Richtsatz</f>
        <v>0</v>
      </c>
      <c r="AN14" s="896">
        <f ca="1">IF(AND(Stammblatt!I15=TRUE,Stammblatt!I17=TRUE),'Kalkulation Herstellungskosten'!AL14,IF(Stammblatt!I17=TRUE,'Kalkulation Herstellungskosten'!AK14,'Kalkulation Herstellungskosten'!AM14))</f>
        <v>0</v>
      </c>
      <c r="AO14" s="414"/>
      <c r="AP14" s="258" t="s">
        <v>35</v>
      </c>
      <c r="AQ14" s="258" t="s">
        <v>343</v>
      </c>
      <c r="AR14" s="281"/>
      <c r="AS14" s="400"/>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row>
    <row r="15" spans="1:78" x14ac:dyDescent="0.2">
      <c r="A15" s="422">
        <v>5</v>
      </c>
      <c r="B15" s="423" t="str">
        <f>IF(Stammblatt!$L$4=1,'Kalkulation Herstellungskosten'!AP15,'Kalkulation Herstellungskosten'!AQ15)</f>
        <v>Synchronbuch</v>
      </c>
      <c r="C15" s="424"/>
      <c r="D15" s="425"/>
      <c r="E15" s="426"/>
      <c r="F15" s="426"/>
      <c r="G15" s="37"/>
      <c r="H15" s="427"/>
      <c r="I15" s="428"/>
      <c r="J15" s="429"/>
      <c r="K15" s="427"/>
      <c r="L15" s="427"/>
      <c r="M15" s="427"/>
      <c r="N15" s="444"/>
      <c r="O15" s="741"/>
      <c r="P15" s="742"/>
      <c r="Q15" s="743"/>
      <c r="R15" s="741"/>
      <c r="S15" s="737"/>
      <c r="T15" s="743"/>
      <c r="U15" s="741"/>
      <c r="V15" s="779">
        <f t="shared" si="3"/>
        <v>0</v>
      </c>
      <c r="W15" s="562">
        <f t="shared" si="4"/>
        <v>0</v>
      </c>
      <c r="X15" s="741"/>
      <c r="Y15" s="744"/>
      <c r="Z15" s="743"/>
      <c r="AA15" s="741"/>
      <c r="AB15" s="726"/>
      <c r="AC15" s="401"/>
      <c r="AD15" s="92"/>
      <c r="AE15" s="92"/>
      <c r="AF15" s="92"/>
      <c r="AG15" s="561">
        <f t="shared" si="5"/>
        <v>0</v>
      </c>
      <c r="AH15" s="405"/>
      <c r="AI15" s="559"/>
      <c r="AJ15" s="405"/>
      <c r="AK15" s="405"/>
      <c r="AL15" s="405"/>
      <c r="AM15" s="405"/>
      <c r="AN15" s="405"/>
      <c r="AO15" s="405"/>
      <c r="AP15" s="258" t="s">
        <v>36</v>
      </c>
      <c r="AQ15" s="258" t="s">
        <v>344</v>
      </c>
      <c r="AR15" s="281"/>
      <c r="AS15" s="400"/>
      <c r="AT15" s="400"/>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row>
    <row r="16" spans="1:78" x14ac:dyDescent="0.2">
      <c r="A16" s="422">
        <v>6</v>
      </c>
      <c r="B16" s="423" t="str">
        <f>IF(Stammblatt!$L$4=1,'Kalkulation Herstellungskosten'!AP16,'Kalkulation Herstellungskosten'!AQ16)</f>
        <v>Archivrechte</v>
      </c>
      <c r="C16" s="424"/>
      <c r="D16" s="425"/>
      <c r="E16" s="426"/>
      <c r="F16" s="426"/>
      <c r="G16" s="37"/>
      <c r="H16" s="427"/>
      <c r="I16" s="428"/>
      <c r="J16" s="429"/>
      <c r="K16" s="427"/>
      <c r="L16" s="427"/>
      <c r="M16" s="427"/>
      <c r="N16" s="444"/>
      <c r="O16" s="741"/>
      <c r="P16" s="742"/>
      <c r="Q16" s="743"/>
      <c r="R16" s="741"/>
      <c r="S16" s="737"/>
      <c r="T16" s="743"/>
      <c r="U16" s="741"/>
      <c r="V16" s="779">
        <f t="shared" si="3"/>
        <v>0</v>
      </c>
      <c r="W16" s="562">
        <f t="shared" si="4"/>
        <v>0</v>
      </c>
      <c r="X16" s="741"/>
      <c r="Y16" s="744"/>
      <c r="Z16" s="743"/>
      <c r="AA16" s="741"/>
      <c r="AB16" s="726"/>
      <c r="AC16" s="401"/>
      <c r="AD16" s="92"/>
      <c r="AE16" s="92"/>
      <c r="AF16" s="92"/>
      <c r="AG16" s="561">
        <f t="shared" si="5"/>
        <v>0</v>
      </c>
      <c r="AH16" s="405"/>
      <c r="AI16" s="559"/>
      <c r="AJ16" s="405"/>
      <c r="AK16" s="405"/>
      <c r="AL16" s="405"/>
      <c r="AM16" s="405"/>
      <c r="AN16" s="405"/>
      <c r="AO16" s="405"/>
      <c r="AP16" s="258" t="s">
        <v>37</v>
      </c>
      <c r="AQ16" s="258" t="s">
        <v>345</v>
      </c>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row>
    <row r="17" spans="1:270" x14ac:dyDescent="0.2">
      <c r="A17" s="422">
        <v>7</v>
      </c>
      <c r="B17" s="423" t="str">
        <f>IF(Stammblatt!$L$4=1,'Kalkulation Herstellungskosten'!AP17,'Kalkulation Herstellungskosten'!AQ17)</f>
        <v>Musikrechte</v>
      </c>
      <c r="C17" s="424"/>
      <c r="D17" s="425"/>
      <c r="E17" s="426"/>
      <c r="F17" s="426"/>
      <c r="G17" s="37"/>
      <c r="H17" s="427"/>
      <c r="I17" s="428"/>
      <c r="J17" s="429"/>
      <c r="K17" s="427"/>
      <c r="L17" s="427"/>
      <c r="M17" s="427"/>
      <c r="N17" s="444"/>
      <c r="O17" s="741"/>
      <c r="P17" s="742"/>
      <c r="Q17" s="743"/>
      <c r="R17" s="741"/>
      <c r="S17" s="737"/>
      <c r="T17" s="743"/>
      <c r="U17" s="741"/>
      <c r="V17" s="779">
        <f t="shared" si="3"/>
        <v>0</v>
      </c>
      <c r="W17" s="562">
        <f t="shared" si="4"/>
        <v>0</v>
      </c>
      <c r="X17" s="741"/>
      <c r="Y17" s="744"/>
      <c r="Z17" s="743"/>
      <c r="AA17" s="741"/>
      <c r="AB17" s="726"/>
      <c r="AC17" s="401"/>
      <c r="AD17" s="92"/>
      <c r="AE17" s="92"/>
      <c r="AF17" s="92"/>
      <c r="AG17" s="561">
        <f t="shared" si="5"/>
        <v>0</v>
      </c>
      <c r="AH17" s="405"/>
      <c r="AI17" s="559"/>
      <c r="AJ17" s="405"/>
      <c r="AK17" s="405"/>
      <c r="AL17" s="405"/>
      <c r="AM17" s="405"/>
      <c r="AN17" s="405"/>
      <c r="AO17" s="405"/>
      <c r="AP17" s="258" t="s">
        <v>38</v>
      </c>
      <c r="AQ17" s="258" t="s">
        <v>487</v>
      </c>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row>
    <row r="18" spans="1:270" x14ac:dyDescent="0.2">
      <c r="A18" s="422">
        <v>8</v>
      </c>
      <c r="B18" s="423" t="str">
        <f>IF(Stammblatt!$L$4=1,'Kalkulation Herstellungskosten'!AP18,'Kalkulation Herstellungskosten'!AQ18)</f>
        <v>Textrechte</v>
      </c>
      <c r="C18" s="424"/>
      <c r="D18" s="425"/>
      <c r="E18" s="426"/>
      <c r="F18" s="426"/>
      <c r="G18" s="37"/>
      <c r="H18" s="427"/>
      <c r="I18" s="428"/>
      <c r="J18" s="429"/>
      <c r="K18" s="427"/>
      <c r="L18" s="427"/>
      <c r="M18" s="427"/>
      <c r="N18" s="444"/>
      <c r="O18" s="741"/>
      <c r="P18" s="742"/>
      <c r="Q18" s="743"/>
      <c r="R18" s="741"/>
      <c r="S18" s="737"/>
      <c r="T18" s="743"/>
      <c r="U18" s="741"/>
      <c r="V18" s="779">
        <f t="shared" si="3"/>
        <v>0</v>
      </c>
      <c r="W18" s="562">
        <f t="shared" si="4"/>
        <v>0</v>
      </c>
      <c r="X18" s="741"/>
      <c r="Y18" s="744"/>
      <c r="Z18" s="743"/>
      <c r="AA18" s="741"/>
      <c r="AB18" s="726"/>
      <c r="AC18" s="401"/>
      <c r="AD18" s="92"/>
      <c r="AE18" s="92"/>
      <c r="AF18" s="92"/>
      <c r="AG18" s="561">
        <f t="shared" si="5"/>
        <v>0</v>
      </c>
      <c r="AH18" s="405"/>
      <c r="AI18" s="559"/>
      <c r="AJ18" s="405"/>
      <c r="AK18" s="405"/>
      <c r="AL18" s="405"/>
      <c r="AM18" s="405"/>
      <c r="AN18" s="405"/>
      <c r="AO18" s="405"/>
      <c r="AP18" s="258" t="s">
        <v>39</v>
      </c>
      <c r="AQ18" s="258" t="s">
        <v>346</v>
      </c>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row>
    <row r="19" spans="1:270" ht="12.75" customHeight="1" x14ac:dyDescent="0.2">
      <c r="A19" s="422">
        <v>9</v>
      </c>
      <c r="B19" s="423" t="s">
        <v>800</v>
      </c>
      <c r="C19" s="424"/>
      <c r="D19" s="425"/>
      <c r="E19" s="426"/>
      <c r="F19" s="426"/>
      <c r="G19" s="37"/>
      <c r="H19" s="427"/>
      <c r="I19" s="428"/>
      <c r="J19" s="817"/>
      <c r="K19" s="817"/>
      <c r="L19" s="711">
        <f>G19*J19</f>
        <v>0</v>
      </c>
      <c r="M19" s="711">
        <f>G19*K19</f>
        <v>0</v>
      </c>
      <c r="N19" s="821" t="str">
        <f t="shared" ref="N19:N20" si="7">IF((L19+M19)&gt;G19,"?","")</f>
        <v/>
      </c>
      <c r="O19" s="741"/>
      <c r="P19" s="742"/>
      <c r="Q19" s="743"/>
      <c r="R19" s="741"/>
      <c r="S19" s="737"/>
      <c r="T19" s="743"/>
      <c r="U19" s="741"/>
      <c r="V19" s="779">
        <f t="shared" si="3"/>
        <v>0</v>
      </c>
      <c r="W19" s="562">
        <f t="shared" si="4"/>
        <v>0</v>
      </c>
      <c r="X19" s="741"/>
      <c r="Y19" s="744"/>
      <c r="Z19" s="743"/>
      <c r="AA19" s="741"/>
      <c r="AB19" s="726"/>
      <c r="AC19" s="401"/>
      <c r="AD19" s="92"/>
      <c r="AE19" s="92"/>
      <c r="AF19" s="92"/>
      <c r="AG19" s="561">
        <f t="shared" si="5"/>
        <v>0</v>
      </c>
      <c r="AH19" s="405"/>
      <c r="AI19" s="559"/>
      <c r="AJ19" s="405"/>
      <c r="AK19" s="405"/>
      <c r="AL19" s="405"/>
      <c r="AM19" s="405"/>
      <c r="AN19" s="405"/>
      <c r="AO19" s="405"/>
      <c r="AP19" s="258" t="s">
        <v>558</v>
      </c>
      <c r="AQ19" s="258" t="s">
        <v>347</v>
      </c>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row>
    <row r="20" spans="1:270" ht="12.75" customHeight="1" x14ac:dyDescent="0.2">
      <c r="A20" s="422">
        <v>10</v>
      </c>
      <c r="B20" s="423" t="s">
        <v>801</v>
      </c>
      <c r="C20" s="424"/>
      <c r="D20" s="425"/>
      <c r="E20" s="426"/>
      <c r="F20" s="426"/>
      <c r="G20" s="37"/>
      <c r="H20" s="427"/>
      <c r="I20" s="428"/>
      <c r="J20" s="817"/>
      <c r="K20" s="817"/>
      <c r="L20" s="711">
        <f>G20*J20</f>
        <v>0</v>
      </c>
      <c r="M20" s="711">
        <f>G20*K20</f>
        <v>0</v>
      </c>
      <c r="N20" s="821" t="str">
        <f t="shared" si="7"/>
        <v/>
      </c>
      <c r="O20" s="741"/>
      <c r="P20" s="742"/>
      <c r="Q20" s="743"/>
      <c r="R20" s="741"/>
      <c r="S20" s="737"/>
      <c r="T20" s="743"/>
      <c r="U20" s="741"/>
      <c r="V20" s="779">
        <f t="shared" si="3"/>
        <v>0</v>
      </c>
      <c r="W20" s="562">
        <f t="shared" si="4"/>
        <v>0</v>
      </c>
      <c r="X20" s="741"/>
      <c r="Y20" s="744"/>
      <c r="Z20" s="743"/>
      <c r="AA20" s="741"/>
      <c r="AB20" s="726"/>
      <c r="AC20" s="401"/>
      <c r="AD20" s="92"/>
      <c r="AE20" s="92"/>
      <c r="AF20" s="92"/>
      <c r="AG20" s="561">
        <f t="shared" si="5"/>
        <v>0</v>
      </c>
      <c r="AH20" s="405"/>
      <c r="AI20" s="559"/>
      <c r="AJ20" s="405"/>
      <c r="AK20" s="405"/>
      <c r="AL20" s="405"/>
      <c r="AM20" s="405"/>
      <c r="AN20" s="405"/>
      <c r="AO20" s="405"/>
      <c r="AP20" s="258" t="s">
        <v>559</v>
      </c>
      <c r="AQ20" s="258" t="s">
        <v>350</v>
      </c>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row>
    <row r="21" spans="1:270" x14ac:dyDescent="0.2">
      <c r="A21" s="422">
        <v>11</v>
      </c>
      <c r="B21" s="423" t="str">
        <f>IF(Stammblatt!$L$4=1,'Kalkulation Herstellungskosten'!AP21,'Kalkulation Herstellungskosten'!AQ21)</f>
        <v>Dolby-Lizenz</v>
      </c>
      <c r="C21" s="424"/>
      <c r="D21" s="425"/>
      <c r="E21" s="426"/>
      <c r="F21" s="426"/>
      <c r="G21" s="37"/>
      <c r="H21" s="427"/>
      <c r="I21" s="428"/>
      <c r="J21" s="429"/>
      <c r="K21" s="427"/>
      <c r="L21" s="427"/>
      <c r="M21" s="427"/>
      <c r="N21" s="444"/>
      <c r="O21" s="741"/>
      <c r="P21" s="742"/>
      <c r="Q21" s="743"/>
      <c r="R21" s="741"/>
      <c r="S21" s="737"/>
      <c r="T21" s="743"/>
      <c r="U21" s="741"/>
      <c r="V21" s="779">
        <f t="shared" si="3"/>
        <v>0</v>
      </c>
      <c r="W21" s="562">
        <f t="shared" si="4"/>
        <v>0</v>
      </c>
      <c r="X21" s="741"/>
      <c r="Y21" s="744"/>
      <c r="Z21" s="743"/>
      <c r="AA21" s="741"/>
      <c r="AB21" s="726"/>
      <c r="AC21" s="401"/>
      <c r="AD21" s="92"/>
      <c r="AE21" s="92"/>
      <c r="AF21" s="92"/>
      <c r="AG21" s="561">
        <f t="shared" si="5"/>
        <v>0</v>
      </c>
      <c r="AH21" s="405"/>
      <c r="AI21" s="559"/>
      <c r="AJ21" s="405"/>
      <c r="AK21" s="405"/>
      <c r="AL21" s="405"/>
      <c r="AM21" s="405"/>
      <c r="AN21" s="405"/>
      <c r="AO21" s="405"/>
      <c r="AP21" s="258" t="s">
        <v>150</v>
      </c>
      <c r="AQ21" s="258" t="s">
        <v>348</v>
      </c>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row>
    <row r="22" spans="1:270" x14ac:dyDescent="0.2">
      <c r="A22" s="422">
        <v>12</v>
      </c>
      <c r="B22" s="423" t="str">
        <f>IF(Stammblatt!$L$4=1,'Kalkulation Herstellungskosten'!AP22,'Kalkulation Herstellungskosten'!AQ22)</f>
        <v>Sonstige Nutzungsrechte *)</v>
      </c>
      <c r="C22" s="424"/>
      <c r="D22" s="425"/>
      <c r="E22" s="426"/>
      <c r="F22" s="426"/>
      <c r="G22" s="725"/>
      <c r="H22" s="427"/>
      <c r="I22" s="428"/>
      <c r="J22" s="429"/>
      <c r="K22" s="427"/>
      <c r="L22" s="427"/>
      <c r="M22" s="427"/>
      <c r="N22" s="444"/>
      <c r="O22" s="749"/>
      <c r="P22" s="742"/>
      <c r="Q22" s="743"/>
      <c r="R22" s="741"/>
      <c r="S22" s="737"/>
      <c r="T22" s="743"/>
      <c r="U22" s="741"/>
      <c r="V22" s="779">
        <f t="shared" si="3"/>
        <v>0</v>
      </c>
      <c r="W22" s="562">
        <f t="shared" si="4"/>
        <v>0</v>
      </c>
      <c r="X22" s="749"/>
      <c r="Y22" s="744"/>
      <c r="Z22" s="743"/>
      <c r="AA22" s="741"/>
      <c r="AB22" s="726"/>
      <c r="AC22" s="401"/>
      <c r="AD22" s="92"/>
      <c r="AE22" s="92"/>
      <c r="AF22" s="92"/>
      <c r="AG22" s="561">
        <f t="shared" si="5"/>
        <v>0</v>
      </c>
      <c r="AH22" s="405"/>
      <c r="AI22" s="559"/>
      <c r="AJ22" s="405"/>
      <c r="AK22" s="405"/>
      <c r="AL22" s="405"/>
      <c r="AM22" s="405"/>
      <c r="AN22" s="405"/>
      <c r="AO22" s="405"/>
      <c r="AP22" s="258" t="s">
        <v>183</v>
      </c>
      <c r="AQ22" s="258" t="s">
        <v>349</v>
      </c>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row>
    <row r="23" spans="1:270" x14ac:dyDescent="0.2">
      <c r="A23" s="398"/>
      <c r="B23" s="286"/>
      <c r="C23" s="399"/>
      <c r="D23" s="391"/>
      <c r="E23" s="400"/>
      <c r="F23" s="400"/>
      <c r="G23" s="400"/>
      <c r="H23" s="431"/>
      <c r="I23" s="394"/>
      <c r="J23" s="432"/>
      <c r="K23" s="431"/>
      <c r="L23" s="431"/>
      <c r="M23" s="431"/>
      <c r="N23" s="446"/>
      <c r="O23" s="745"/>
      <c r="P23" s="745"/>
      <c r="Q23" s="745"/>
      <c r="R23" s="745"/>
      <c r="S23" s="737"/>
      <c r="T23" s="746"/>
      <c r="U23" s="435"/>
      <c r="V23" s="435"/>
      <c r="W23" s="434"/>
      <c r="X23" s="435"/>
      <c r="Y23" s="745"/>
      <c r="Z23" s="745"/>
      <c r="AA23" s="745"/>
      <c r="AB23" s="726"/>
      <c r="AC23" s="401"/>
      <c r="AD23" s="426"/>
      <c r="AE23" s="426"/>
      <c r="AF23" s="426"/>
      <c r="AG23" s="400"/>
      <c r="AH23" s="405"/>
      <c r="AI23" s="559"/>
      <c r="AJ23" s="405"/>
      <c r="AK23" s="405"/>
      <c r="AL23" s="405"/>
      <c r="AM23" s="405"/>
      <c r="AN23" s="405"/>
      <c r="AO23" s="405"/>
      <c r="AP23" s="258"/>
      <c r="AQ23" s="258"/>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row>
    <row r="24" spans="1:270" x14ac:dyDescent="0.2">
      <c r="A24" s="112"/>
      <c r="B24" s="65" t="str">
        <f>IF(Stammblatt!$L$4=1,'Kalkulation Herstellungskosten'!AP24,'Kalkulation Herstellungskosten'!AQ24)</f>
        <v>Σ-Nutzungsrechte</v>
      </c>
      <c r="C24" s="31"/>
      <c r="D24" s="40"/>
      <c r="E24" s="39"/>
      <c r="F24" s="39"/>
      <c r="G24" s="1072">
        <f>SUM(G12:G23)</f>
        <v>0</v>
      </c>
      <c r="H24" s="30"/>
      <c r="I24" s="134"/>
      <c r="J24" s="140"/>
      <c r="K24" s="30"/>
      <c r="L24" s="138">
        <f>SUM(L12:L23)</f>
        <v>0</v>
      </c>
      <c r="M24" s="138">
        <f>SUM(M12:M23)</f>
        <v>0</v>
      </c>
      <c r="N24" s="142"/>
      <c r="O24" s="1072">
        <f>SUM(O12:O23)</f>
        <v>0</v>
      </c>
      <c r="P24" s="1072">
        <f>SUM(P12:P23)</f>
        <v>0</v>
      </c>
      <c r="Q24" s="1074">
        <f t="shared" ref="Q24:R24" si="8">SUM(Q12:Q23)</f>
        <v>0</v>
      </c>
      <c r="R24" s="1074">
        <f t="shared" si="8"/>
        <v>0</v>
      </c>
      <c r="S24" s="737"/>
      <c r="T24" s="748">
        <f>SUM(T12:T23)</f>
        <v>0</v>
      </c>
      <c r="U24" s="113">
        <f>SUM(U12:U23)</f>
        <v>0</v>
      </c>
      <c r="V24" s="113">
        <f>SUM(V12:V23)</f>
        <v>0</v>
      </c>
      <c r="W24" s="149">
        <f>ZS_2_Nutzungsrechte-V24</f>
        <v>0</v>
      </c>
      <c r="X24" s="113">
        <f>SUM(X12:X23)</f>
        <v>0</v>
      </c>
      <c r="Y24" s="113">
        <f>SUM(Y12:Y23)</f>
        <v>0</v>
      </c>
      <c r="Z24" s="113">
        <f t="shared" ref="Z24" si="9">SUM(Z12:Z23)</f>
        <v>0</v>
      </c>
      <c r="AA24" s="113">
        <f t="shared" ref="AA24" si="10">SUM(AA12:AA23)</f>
        <v>0</v>
      </c>
      <c r="AB24" s="726"/>
      <c r="AC24" s="401"/>
      <c r="AD24" s="93">
        <f>SUM(AD12:AD22)</f>
        <v>0</v>
      </c>
      <c r="AE24" s="93">
        <f>SUM(AE12:AE22)</f>
        <v>0</v>
      </c>
      <c r="AF24" s="93">
        <f>SUM(AF12:AF22)</f>
        <v>0</v>
      </c>
      <c r="AG24" s="39">
        <f>SUM(G24,AD24:AF24)</f>
        <v>0</v>
      </c>
      <c r="AH24" s="405"/>
      <c r="AI24" s="559"/>
      <c r="AJ24" s="405"/>
      <c r="AK24" s="893"/>
      <c r="AL24" s="897" t="s">
        <v>1056</v>
      </c>
      <c r="AM24" s="897" t="s">
        <v>1069</v>
      </c>
      <c r="AN24" s="894" t="s">
        <v>1058</v>
      </c>
      <c r="AO24" s="405"/>
      <c r="AP24" s="258" t="s">
        <v>235</v>
      </c>
      <c r="AQ24" s="258" t="s">
        <v>454</v>
      </c>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row>
    <row r="25" spans="1:270" x14ac:dyDescent="0.2">
      <c r="A25" s="398"/>
      <c r="B25" s="286"/>
      <c r="C25" s="399"/>
      <c r="D25" s="391"/>
      <c r="E25" s="400"/>
      <c r="F25" s="400"/>
      <c r="G25" s="400"/>
      <c r="H25" s="431"/>
      <c r="I25" s="394"/>
      <c r="J25" s="432"/>
      <c r="K25" s="431"/>
      <c r="L25" s="431"/>
      <c r="M25" s="431"/>
      <c r="N25" s="446"/>
      <c r="O25" s="745"/>
      <c r="P25" s="745"/>
      <c r="Q25" s="745"/>
      <c r="R25" s="745"/>
      <c r="S25" s="737"/>
      <c r="T25" s="746"/>
      <c r="U25" s="435"/>
      <c r="V25" s="435"/>
      <c r="W25" s="435"/>
      <c r="X25" s="435"/>
      <c r="Y25" s="745"/>
      <c r="Z25" s="745"/>
      <c r="AA25" s="745"/>
      <c r="AB25" s="726"/>
      <c r="AC25" s="401"/>
      <c r="AD25" s="400"/>
      <c r="AE25" s="400"/>
      <c r="AF25" s="400"/>
      <c r="AG25" s="400"/>
      <c r="AH25" s="405"/>
      <c r="AI25" s="559"/>
      <c r="AJ25" s="405"/>
      <c r="AK25" s="894" t="s">
        <v>1055</v>
      </c>
      <c r="AL25" s="894" t="s">
        <v>1057</v>
      </c>
      <c r="AM25" s="894" t="s">
        <v>650</v>
      </c>
      <c r="AN25" s="894" t="s">
        <v>1059</v>
      </c>
      <c r="AO25" s="405"/>
      <c r="AP25" s="258"/>
      <c r="AQ25" s="258"/>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row>
    <row r="26" spans="1:270" ht="12.75" customHeight="1" x14ac:dyDescent="0.2">
      <c r="A26" s="398"/>
      <c r="B26" s="286"/>
      <c r="C26" s="399"/>
      <c r="D26" s="391"/>
      <c r="E26" s="518"/>
      <c r="F26" s="400"/>
      <c r="G26" s="400"/>
      <c r="H26" s="431"/>
      <c r="I26" s="519"/>
      <c r="J26" s="520"/>
      <c r="K26" s="521"/>
      <c r="L26" s="391"/>
      <c r="M26" s="521"/>
      <c r="N26" s="522"/>
      <c r="O26" s="745"/>
      <c r="P26" s="745"/>
      <c r="Q26" s="745"/>
      <c r="R26" s="745"/>
      <c r="S26" s="745"/>
      <c r="T26" s="746"/>
      <c r="U26" s="435"/>
      <c r="V26" s="435"/>
      <c r="W26" s="435"/>
      <c r="X26" s="435"/>
      <c r="Y26" s="750"/>
      <c r="Z26" s="750"/>
      <c r="AA26" s="750"/>
      <c r="AB26" s="726"/>
      <c r="AC26" s="401"/>
      <c r="AD26" s="400"/>
      <c r="AE26" s="400"/>
      <c r="AF26" s="400"/>
      <c r="AG26" s="400"/>
      <c r="AH26" s="405"/>
      <c r="AI26" s="559"/>
      <c r="AJ26" s="405"/>
      <c r="AK26" s="405"/>
      <c r="AL26" s="405"/>
      <c r="AM26" s="405"/>
      <c r="AN26" s="894"/>
      <c r="AO26" s="405"/>
      <c r="AP26" s="258"/>
      <c r="AQ26" s="258"/>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row>
    <row r="27" spans="1:270" s="25" customFormat="1" x14ac:dyDescent="0.2">
      <c r="A27" s="448"/>
      <c r="B27" s="296" t="str">
        <f>IF(Stammblatt!$L$4=1,'Kalkulation Herstellungskosten'!AP27,'Kalkulation Herstellungskosten'!AQ27)</f>
        <v>3. Gagen, Löhne, Honorare</v>
      </c>
      <c r="C27" s="523"/>
      <c r="D27" s="524"/>
      <c r="E27" s="436" t="str">
        <f>IF(Stammblatt!$L$4=1,"Wochengage","weekly rate")</f>
        <v>Wochengage</v>
      </c>
      <c r="F27" s="436"/>
      <c r="G27" s="436" t="str">
        <f>IF(Stammblatt!$L$4=1,"Brutto","TOTAL")</f>
        <v>Brutto</v>
      </c>
      <c r="H27" s="436" t="s">
        <v>154</v>
      </c>
      <c r="I27" s="436"/>
      <c r="J27" s="439"/>
      <c r="K27" s="436"/>
      <c r="L27" s="391"/>
      <c r="M27" s="391"/>
      <c r="N27" s="525"/>
      <c r="O27" s="751"/>
      <c r="P27" s="751"/>
      <c r="Q27" s="751"/>
      <c r="R27" s="751"/>
      <c r="S27" s="751"/>
      <c r="T27" s="746"/>
      <c r="U27" s="435"/>
      <c r="V27" s="435"/>
      <c r="W27" s="435"/>
      <c r="X27" s="435"/>
      <c r="Y27" s="751"/>
      <c r="Z27" s="751"/>
      <c r="AA27" s="751"/>
      <c r="AB27" s="391"/>
      <c r="AC27" s="401"/>
      <c r="AD27" s="400"/>
      <c r="AE27" s="400"/>
      <c r="AF27" s="400"/>
      <c r="AG27" s="400"/>
      <c r="AH27" s="405"/>
      <c r="AI27" s="559"/>
      <c r="AJ27" s="405"/>
      <c r="AK27" s="405"/>
      <c r="AL27" s="405"/>
      <c r="AM27" s="405"/>
      <c r="AN27" s="894"/>
      <c r="AO27" s="405"/>
      <c r="AP27" s="258" t="s">
        <v>42</v>
      </c>
      <c r="AQ27" s="258" t="s">
        <v>648</v>
      </c>
      <c r="AR27" s="281"/>
      <c r="AS27" s="281"/>
      <c r="AT27" s="281"/>
      <c r="AU27" s="281"/>
      <c r="AV27" s="281"/>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row>
    <row r="28" spans="1:270" s="25" customFormat="1" x14ac:dyDescent="0.2">
      <c r="A28" s="448"/>
      <c r="B28" s="526"/>
      <c r="C28" s="436" t="str">
        <f>IF(Stammblatt!$L$4=1,"Wochen","weeks")</f>
        <v>Wochen</v>
      </c>
      <c r="D28" s="436" t="s">
        <v>626</v>
      </c>
      <c r="E28" s="436" t="str">
        <f>IF(Stammblatt!$L$4=1,"inkl. SZ, UEL","")</f>
        <v>inkl. SZ, UEL</v>
      </c>
      <c r="F28" s="436"/>
      <c r="G28" s="436" t="str">
        <f>IF(Stammblatt!$L$4=1,"inkl. SZ, UEL","")</f>
        <v>inkl. SZ, UEL</v>
      </c>
      <c r="H28" s="436" t="s">
        <v>155</v>
      </c>
      <c r="I28" s="436"/>
      <c r="J28" s="439" t="s">
        <v>581</v>
      </c>
      <c r="K28" s="436" t="s">
        <v>582</v>
      </c>
      <c r="L28" s="391" t="s">
        <v>583</v>
      </c>
      <c r="M28" s="391" t="s">
        <v>584</v>
      </c>
      <c r="N28" s="525"/>
      <c r="O28" s="751"/>
      <c r="P28" s="751"/>
      <c r="Q28" s="751"/>
      <c r="R28" s="751"/>
      <c r="S28" s="751"/>
      <c r="T28" s="746"/>
      <c r="U28" s="435"/>
      <c r="V28" s="435"/>
      <c r="W28" s="435"/>
      <c r="X28" s="435"/>
      <c r="Y28" s="751"/>
      <c r="Z28" s="751"/>
      <c r="AA28" s="751"/>
      <c r="AB28" s="391"/>
      <c r="AC28" s="401"/>
      <c r="AD28" s="400"/>
      <c r="AE28" s="400"/>
      <c r="AF28" s="400"/>
      <c r="AG28" s="400"/>
      <c r="AH28" s="405"/>
      <c r="AI28" s="559"/>
      <c r="AJ28" s="405"/>
      <c r="AK28" s="415" t="s">
        <v>727</v>
      </c>
      <c r="AL28" s="415" t="s">
        <v>728</v>
      </c>
      <c r="AM28" s="415" t="s">
        <v>729</v>
      </c>
      <c r="AN28" s="894"/>
      <c r="AO28" s="415"/>
      <c r="AP28" s="258" t="s">
        <v>184</v>
      </c>
      <c r="AQ28" s="258" t="s">
        <v>488</v>
      </c>
      <c r="AR28" s="281"/>
      <c r="AS28" s="281"/>
      <c r="AT28" s="281"/>
      <c r="AU28" s="281"/>
      <c r="AV28" s="281"/>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row>
    <row r="29" spans="1:270" s="122" customFormat="1" ht="12.75" customHeight="1" x14ac:dyDescent="0.2">
      <c r="A29" s="527">
        <v>13</v>
      </c>
      <c r="B29" s="528" t="str">
        <f>IF(Stammblatt!$L$4=1,'Kalkulation Herstellungskosten'!AP29,'Kalkulation Herstellungskosten'!AQ29)</f>
        <v>Herstellungsleitung</v>
      </c>
      <c r="C29" s="123">
        <v>0</v>
      </c>
      <c r="D29" s="544"/>
      <c r="E29" s="128"/>
      <c r="F29" s="547">
        <f t="shared" ref="F29:F44" si="11">E29</f>
        <v>0</v>
      </c>
      <c r="G29" s="1159">
        <f>C29*E29+C30*E30</f>
        <v>0</v>
      </c>
      <c r="H29" s="124">
        <f ca="1">IF(AND(Stammblatt!$I$9=TRUE,GHSTK&lt;=1220000),Kollektivvertrag!$C$59,IF(AND(Stammblatt!$I$9=TRUE,GHSTK&lt;=1570000),AM29/2,AM29))</f>
        <v>1490.1578207048697</v>
      </c>
      <c r="I29" s="1163"/>
      <c r="J29" s="817"/>
      <c r="K29" s="817"/>
      <c r="L29" s="815">
        <f>G29*J29</f>
        <v>0</v>
      </c>
      <c r="M29" s="816">
        <f>G29*K29</f>
        <v>0</v>
      </c>
      <c r="N29" s="820" t="str">
        <f t="shared" ref="N29" si="12">IF((L29+M29)&gt;G29,"?","")</f>
        <v/>
      </c>
      <c r="O29" s="1155"/>
      <c r="P29" s="1161"/>
      <c r="Q29" s="1169"/>
      <c r="R29" s="1155"/>
      <c r="S29" s="751"/>
      <c r="T29" s="1155"/>
      <c r="U29" s="1155"/>
      <c r="V29" s="1157">
        <f>SUM(T29:U30)</f>
        <v>0</v>
      </c>
      <c r="W29" s="1157">
        <f>G29-V29</f>
        <v>0</v>
      </c>
      <c r="X29" s="1155"/>
      <c r="Y29" s="1161"/>
      <c r="Z29" s="1169"/>
      <c r="AA29" s="1155"/>
      <c r="AB29" s="391"/>
      <c r="AC29" s="447"/>
      <c r="AD29" s="1153"/>
      <c r="AE29" s="1153"/>
      <c r="AF29" s="1151"/>
      <c r="AG29" s="1159">
        <f>SUM(G29,AD29:AF30)</f>
        <v>0</v>
      </c>
      <c r="AH29" s="414"/>
      <c r="AI29" s="558">
        <f ca="1">IF(AJ30=TRUE,H29*0.8,H29)</f>
        <v>1490.1578207048697</v>
      </c>
      <c r="AJ29" s="414"/>
      <c r="AK29" s="416">
        <f>AM29*1.2</f>
        <v>1788.1893848458435</v>
      </c>
      <c r="AL29" s="416">
        <f>AM29*1.3</f>
        <v>1937.2051669163307</v>
      </c>
      <c r="AM29" s="416">
        <f>IF(AND(Stammblatt!$I$7=TRUE,Stammblatt!$I$8=FALSE),Kollektivvertrag!C13,Kollektivvertrag!C14)</f>
        <v>1490.1578207048697</v>
      </c>
      <c r="AN29" s="894"/>
      <c r="AO29" s="416"/>
      <c r="AP29" s="258" t="s">
        <v>149</v>
      </c>
      <c r="AQ29" s="258" t="s">
        <v>505</v>
      </c>
      <c r="AR29" s="417"/>
      <c r="AS29" s="1005"/>
      <c r="AT29" s="1005"/>
      <c r="AU29" s="417"/>
      <c r="AV29" s="417"/>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row>
    <row r="30" spans="1:270" s="122" customFormat="1" ht="12.75" customHeight="1" x14ac:dyDescent="0.2">
      <c r="A30" s="529"/>
      <c r="B30" s="530" t="str">
        <f>IF(Stammblatt!$L$4=1,'Kalkulation Herstellungskosten'!AP30,'Kalkulation Herstellungskosten'!AQ30)</f>
        <v xml:space="preserve">Wochenpauschale (§ 7 KV) </v>
      </c>
      <c r="C30" s="118">
        <v>0</v>
      </c>
      <c r="D30" s="545"/>
      <c r="E30" s="119"/>
      <c r="F30" s="548">
        <f t="shared" si="11"/>
        <v>0</v>
      </c>
      <c r="G30" s="1160"/>
      <c r="H30" s="120">
        <f ca="1">IF(AND(Stammblatt!$I$9=TRUE,GHSTK&lt;=1220000),Kollektivvertrag!$E$59,IF(AND(Stammblatt!$I$9=TRUE,GHSTK&lt;=1570000),AM30/2,AM30))</f>
        <v>2063.8685816762445</v>
      </c>
      <c r="I30" s="1164"/>
      <c r="J30" s="814"/>
      <c r="K30" s="813"/>
      <c r="L30" s="552"/>
      <c r="M30" s="552"/>
      <c r="N30" s="445"/>
      <c r="O30" s="1156"/>
      <c r="P30" s="1162"/>
      <c r="Q30" s="1170"/>
      <c r="R30" s="1156"/>
      <c r="S30" s="751"/>
      <c r="T30" s="1156"/>
      <c r="U30" s="1156"/>
      <c r="V30" s="1158"/>
      <c r="W30" s="1158"/>
      <c r="X30" s="1156"/>
      <c r="Y30" s="1162"/>
      <c r="Z30" s="1170"/>
      <c r="AA30" s="1156"/>
      <c r="AB30" s="391"/>
      <c r="AC30" s="447"/>
      <c r="AD30" s="1154"/>
      <c r="AE30" s="1154"/>
      <c r="AF30" s="1152"/>
      <c r="AG30" s="1160"/>
      <c r="AH30" s="414"/>
      <c r="AI30" s="558">
        <f ca="1">IF(AJ30=TRUE,H30*0.8,H30)</f>
        <v>2063.8685816762445</v>
      </c>
      <c r="AJ30" s="414" t="b">
        <v>0</v>
      </c>
      <c r="AK30" s="416">
        <f t="shared" ref="AK30:AK34" si="13">AM30*1.2</f>
        <v>2476.6422980114935</v>
      </c>
      <c r="AL30" s="416">
        <f t="shared" ref="AL30:AL34" si="14">AM30*1.3</f>
        <v>2683.0291561791178</v>
      </c>
      <c r="AM30" s="416">
        <f>IF(AND(Stammblatt!$I$7=TRUE,Stammblatt!$I$8=FALSE),Kollektivvertrag!E13,Kollektivvertrag!E14)</f>
        <v>2063.8685816762445</v>
      </c>
      <c r="AN30" s="894"/>
      <c r="AO30" s="419"/>
      <c r="AP30" s="258" t="s">
        <v>45</v>
      </c>
      <c r="AQ30" s="258" t="s">
        <v>351</v>
      </c>
      <c r="AR30" s="417"/>
      <c r="AS30" s="1005"/>
      <c r="AT30" s="1005"/>
      <c r="AU30" s="417"/>
      <c r="AV30" s="417"/>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c r="BW30" s="418"/>
      <c r="BX30" s="418"/>
      <c r="BY30" s="418"/>
      <c r="BZ30" s="418"/>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row>
    <row r="31" spans="1:270" s="125" customFormat="1" ht="12.75" customHeight="1" x14ac:dyDescent="0.2">
      <c r="A31" s="531">
        <v>14</v>
      </c>
      <c r="B31" s="528" t="str">
        <f>IF(Stammblatt!$L$4=1,'Kalkulation Herstellungskosten'!AP31,'Kalkulation Herstellungskosten'!AQ31)</f>
        <v>Produktionsleitung</v>
      </c>
      <c r="C31" s="123">
        <v>0</v>
      </c>
      <c r="D31" s="544"/>
      <c r="E31" s="128"/>
      <c r="F31" s="547">
        <f t="shared" si="11"/>
        <v>0</v>
      </c>
      <c r="G31" s="1159">
        <f>C31*E31+C32*E32</f>
        <v>0</v>
      </c>
      <c r="H31" s="124">
        <f ca="1">IF(AND(Stammblatt!$I$9=TRUE,GHSTK&lt;=1220000),Kollektivvertrag!$C$59,IF(AND(Stammblatt!$I$9=TRUE,GHSTK&lt;=1570000),AM31/2,AM31))</f>
        <v>1467.0074766579301</v>
      </c>
      <c r="I31" s="1163"/>
      <c r="J31" s="817"/>
      <c r="K31" s="817"/>
      <c r="L31" s="815">
        <f>G31*J31</f>
        <v>0</v>
      </c>
      <c r="M31" s="816">
        <f>G31*K31</f>
        <v>0</v>
      </c>
      <c r="N31" s="820" t="str">
        <f t="shared" ref="N31" si="15">IF((L31+M31)&gt;G31,"?","")</f>
        <v/>
      </c>
      <c r="O31" s="1155"/>
      <c r="P31" s="1161"/>
      <c r="Q31" s="1155"/>
      <c r="R31" s="1155"/>
      <c r="S31" s="751"/>
      <c r="T31" s="1155"/>
      <c r="U31" s="1155"/>
      <c r="V31" s="1157">
        <f>SUM(T31:U32)</f>
        <v>0</v>
      </c>
      <c r="W31" s="1157">
        <f>G31-V31</f>
        <v>0</v>
      </c>
      <c r="X31" s="1155"/>
      <c r="Y31" s="1161"/>
      <c r="Z31" s="1155"/>
      <c r="AA31" s="1155"/>
      <c r="AB31" s="391"/>
      <c r="AC31" s="447"/>
      <c r="AD31" s="1153"/>
      <c r="AE31" s="1153"/>
      <c r="AF31" s="1151"/>
      <c r="AG31" s="1159">
        <f>SUM(G31,AD31:AF32)</f>
        <v>0</v>
      </c>
      <c r="AH31" s="414"/>
      <c r="AI31" s="558">
        <f ca="1">IF(AJ32=TRUE,H31*0.8,H31)</f>
        <v>1467.0074766579301</v>
      </c>
      <c r="AJ31" s="414"/>
      <c r="AK31" s="416">
        <f t="shared" si="13"/>
        <v>1760.408971989516</v>
      </c>
      <c r="AL31" s="416">
        <f t="shared" si="14"/>
        <v>1907.1097196553092</v>
      </c>
      <c r="AM31" s="416">
        <f>IF(AND(Stammblatt!$I$7=TRUE,Stammblatt!$I$8=FALSE),Kollektivvertrag!C15,Kollektivvertrag!C16)</f>
        <v>1467.0074766579301</v>
      </c>
      <c r="AN31" s="894"/>
      <c r="AO31" s="416"/>
      <c r="AP31" s="258" t="s">
        <v>144</v>
      </c>
      <c r="AQ31" s="258" t="s">
        <v>293</v>
      </c>
      <c r="AR31" s="417"/>
      <c r="AS31" s="281"/>
      <c r="AT31" s="400"/>
      <c r="AU31" s="417"/>
      <c r="AV31" s="417"/>
      <c r="AW31" s="417"/>
      <c r="AX31" s="417"/>
      <c r="AY31" s="417"/>
      <c r="AZ31" s="417"/>
      <c r="BA31" s="417"/>
      <c r="BB31" s="417"/>
      <c r="BC31" s="417"/>
      <c r="BD31" s="417"/>
      <c r="BE31" s="417"/>
      <c r="BF31" s="417"/>
      <c r="BG31" s="417"/>
      <c r="BH31" s="417"/>
      <c r="BI31" s="417"/>
      <c r="BJ31" s="417"/>
      <c r="BK31" s="417"/>
      <c r="BL31" s="417"/>
      <c r="BM31" s="417"/>
      <c r="BN31" s="417"/>
      <c r="BO31" s="417"/>
      <c r="BP31" s="417"/>
      <c r="BQ31" s="417"/>
      <c r="BR31" s="417"/>
      <c r="BS31" s="417"/>
      <c r="BT31" s="417"/>
      <c r="BU31" s="417"/>
      <c r="BV31" s="417"/>
      <c r="BW31" s="417"/>
      <c r="BX31" s="417"/>
      <c r="BY31" s="417"/>
      <c r="BZ31" s="417"/>
    </row>
    <row r="32" spans="1:270" s="125" customFormat="1" ht="12.75" customHeight="1" x14ac:dyDescent="0.2">
      <c r="A32" s="529"/>
      <c r="B32" s="530" t="str">
        <f>IF(Stammblatt!$L$4=1,'Kalkulation Herstellungskosten'!AP32,'Kalkulation Herstellungskosten'!AQ32)</f>
        <v xml:space="preserve">Wochenpauschale (§ 7 KV) </v>
      </c>
      <c r="C32" s="118">
        <v>0</v>
      </c>
      <c r="D32" s="545"/>
      <c r="E32" s="119"/>
      <c r="F32" s="548">
        <f t="shared" si="11"/>
        <v>0</v>
      </c>
      <c r="G32" s="1160"/>
      <c r="H32" s="120">
        <f ca="1">IF(AND(Stammblatt!$I$9=TRUE,GHSTK&lt;=1220000),Kollektivvertrag!$E$59,IF(AND(Stammblatt!$I$9=TRUE,GHSTK&lt;=1570000),AM32/2,AM32))</f>
        <v>2031.8053551712333</v>
      </c>
      <c r="I32" s="1164"/>
      <c r="J32" s="553"/>
      <c r="K32" s="545"/>
      <c r="L32" s="552"/>
      <c r="M32" s="552"/>
      <c r="N32" s="445"/>
      <c r="O32" s="1156"/>
      <c r="P32" s="1162"/>
      <c r="Q32" s="1156"/>
      <c r="R32" s="1156"/>
      <c r="S32" s="751"/>
      <c r="T32" s="1156"/>
      <c r="U32" s="1156"/>
      <c r="V32" s="1158"/>
      <c r="W32" s="1158"/>
      <c r="X32" s="1156"/>
      <c r="Y32" s="1162"/>
      <c r="Z32" s="1156"/>
      <c r="AA32" s="1156"/>
      <c r="AB32" s="391"/>
      <c r="AC32" s="447"/>
      <c r="AD32" s="1154"/>
      <c r="AE32" s="1154"/>
      <c r="AF32" s="1152"/>
      <c r="AG32" s="1160"/>
      <c r="AH32" s="414"/>
      <c r="AI32" s="558">
        <f ca="1">IF(AJ32=TRUE,H32*0.8,H32)</f>
        <v>2031.8053551712333</v>
      </c>
      <c r="AJ32" s="414" t="b">
        <v>0</v>
      </c>
      <c r="AK32" s="416">
        <f t="shared" si="13"/>
        <v>2438.1664262054796</v>
      </c>
      <c r="AL32" s="416">
        <f t="shared" si="14"/>
        <v>2641.3469617226033</v>
      </c>
      <c r="AM32" s="416">
        <f>IF(AND(Stammblatt!$I$7=TRUE,Stammblatt!$I$8=FALSE),Kollektivvertrag!E15,Kollektivvertrag!E16)</f>
        <v>2031.8053551712333</v>
      </c>
      <c r="AN32" s="894"/>
      <c r="AO32" s="419"/>
      <c r="AP32" s="258" t="s">
        <v>45</v>
      </c>
      <c r="AQ32" s="258" t="s">
        <v>351</v>
      </c>
      <c r="AR32" s="417"/>
      <c r="AS32" s="281"/>
      <c r="AT32" s="281"/>
      <c r="AU32" s="417"/>
      <c r="AV32" s="417"/>
      <c r="AW32" s="420"/>
      <c r="AX32" s="417"/>
      <c r="AY32" s="417"/>
      <c r="AZ32" s="417"/>
      <c r="BA32" s="417"/>
      <c r="BB32" s="417"/>
      <c r="BC32" s="417"/>
      <c r="BD32" s="417"/>
      <c r="BE32" s="417"/>
      <c r="BF32" s="417"/>
      <c r="BG32" s="417"/>
      <c r="BH32" s="417"/>
      <c r="BI32" s="417"/>
      <c r="BJ32" s="417"/>
      <c r="BK32" s="417"/>
      <c r="BL32" s="417"/>
      <c r="BM32" s="417"/>
      <c r="BN32" s="417"/>
      <c r="BO32" s="417"/>
      <c r="BP32" s="417"/>
      <c r="BQ32" s="417"/>
      <c r="BR32" s="417"/>
      <c r="BS32" s="417"/>
      <c r="BT32" s="417"/>
      <c r="BU32" s="417"/>
      <c r="BV32" s="417"/>
      <c r="BW32" s="417"/>
      <c r="BX32" s="417"/>
      <c r="BY32" s="417"/>
      <c r="BZ32" s="417"/>
    </row>
    <row r="33" spans="1:78" s="125" customFormat="1" ht="12.75" customHeight="1" x14ac:dyDescent="0.2">
      <c r="A33" s="531">
        <v>15</v>
      </c>
      <c r="B33" s="528" t="str">
        <f>IF(Stammblatt!$L$4=1,'Kalkulation Herstellungskosten'!AP33,'Kalkulation Herstellungskosten'!AQ33)</f>
        <v>Aufnahmeleitung (1. AL)</v>
      </c>
      <c r="C33" s="123">
        <v>0</v>
      </c>
      <c r="D33" s="544"/>
      <c r="E33" s="128"/>
      <c r="F33" s="547">
        <f t="shared" si="11"/>
        <v>0</v>
      </c>
      <c r="G33" s="1159">
        <f>C33*E33+C34*E34</f>
        <v>0</v>
      </c>
      <c r="H33" s="124">
        <f ca="1">IF(AND(Stammblatt!$I$9=TRUE,GHSTK&lt;=1220000),Kollektivvertrag!$C$59,IF(AND(Stammblatt!$I$9=TRUE,GHSTK&lt;=1570000),AM33/2,AM33))</f>
        <v>1241.0998862219674</v>
      </c>
      <c r="I33" s="1163"/>
      <c r="J33" s="817"/>
      <c r="K33" s="817"/>
      <c r="L33" s="815">
        <f>G33*J33</f>
        <v>0</v>
      </c>
      <c r="M33" s="816">
        <f>G33*K33</f>
        <v>0</v>
      </c>
      <c r="N33" s="820" t="str">
        <f t="shared" ref="N33" si="16">IF((L33+M33)&gt;G33,"?","")</f>
        <v/>
      </c>
      <c r="O33" s="1155"/>
      <c r="P33" s="1161"/>
      <c r="Q33" s="1169"/>
      <c r="R33" s="1155"/>
      <c r="S33" s="751"/>
      <c r="T33" s="1155"/>
      <c r="U33" s="1155"/>
      <c r="V33" s="1157">
        <f>SUM(T33:U34)</f>
        <v>0</v>
      </c>
      <c r="W33" s="1157">
        <f>G33-V33</f>
        <v>0</v>
      </c>
      <c r="X33" s="1155"/>
      <c r="Y33" s="1161"/>
      <c r="Z33" s="1169"/>
      <c r="AA33" s="1155"/>
      <c r="AB33" s="391"/>
      <c r="AC33" s="447"/>
      <c r="AD33" s="1153"/>
      <c r="AE33" s="1153"/>
      <c r="AF33" s="1151"/>
      <c r="AG33" s="1159">
        <f>SUM(G33,AD33:AF34)</f>
        <v>0</v>
      </c>
      <c r="AH33" s="414"/>
      <c r="AI33" s="558">
        <f ca="1">IF(AJ34=TRUE,H33*0.8,H33)</f>
        <v>1241.0998862219674</v>
      </c>
      <c r="AJ33" s="414"/>
      <c r="AK33" s="416">
        <f t="shared" si="13"/>
        <v>1489.3198634663609</v>
      </c>
      <c r="AL33" s="416">
        <f t="shared" si="14"/>
        <v>1613.4298520885577</v>
      </c>
      <c r="AM33" s="416">
        <f>IF(AND(Stammblatt!$I$7=TRUE,Stammblatt!$I$8=FALSE),Kollektivvertrag!C17,Kollektivvertrag!C18)</f>
        <v>1241.0998862219674</v>
      </c>
      <c r="AN33" s="894"/>
      <c r="AO33" s="416"/>
      <c r="AP33" s="258" t="s">
        <v>803</v>
      </c>
      <c r="AQ33" s="258" t="s">
        <v>383</v>
      </c>
      <c r="AR33" s="417"/>
      <c r="AS33" s="281"/>
      <c r="AT33" s="281"/>
      <c r="AU33" s="417"/>
      <c r="AV33" s="417"/>
      <c r="AW33" s="417"/>
      <c r="AX33" s="417"/>
      <c r="AY33" s="417"/>
      <c r="AZ33" s="417"/>
      <c r="BA33" s="417"/>
      <c r="BB33" s="417"/>
      <c r="BC33" s="417"/>
      <c r="BD33" s="417"/>
      <c r="BE33" s="417"/>
      <c r="BF33" s="417"/>
      <c r="BG33" s="417"/>
      <c r="BH33" s="417"/>
      <c r="BI33" s="417"/>
      <c r="BJ33" s="417"/>
      <c r="BK33" s="417"/>
      <c r="BL33" s="417"/>
      <c r="BM33" s="417"/>
      <c r="BN33" s="417"/>
      <c r="BO33" s="417"/>
      <c r="BP33" s="417"/>
      <c r="BQ33" s="417"/>
      <c r="BR33" s="417"/>
      <c r="BS33" s="417"/>
      <c r="BT33" s="417"/>
      <c r="BU33" s="417"/>
      <c r="BV33" s="417"/>
      <c r="BW33" s="417"/>
      <c r="BX33" s="417"/>
      <c r="BY33" s="417"/>
      <c r="BZ33" s="417"/>
    </row>
    <row r="34" spans="1:78" s="125" customFormat="1" ht="12.75" customHeight="1" x14ac:dyDescent="0.2">
      <c r="A34" s="529"/>
      <c r="B34" s="532" t="str">
        <f>IF(Stammblatt!$L$4=1,'Kalkulation Herstellungskosten'!AP34,'Kalkulation Herstellungskosten'!AQ34)</f>
        <v xml:space="preserve">Wochenpauschale (§ 7 KV) </v>
      </c>
      <c r="C34" s="118">
        <v>0</v>
      </c>
      <c r="D34" s="545"/>
      <c r="E34" s="119"/>
      <c r="F34" s="548">
        <f t="shared" si="11"/>
        <v>0</v>
      </c>
      <c r="G34" s="1160"/>
      <c r="H34" s="120">
        <f ca="1">IF(AND(Stammblatt!$I$9=TRUE,GHSTK&lt;=1220000),Kollektivvertrag!$E$59,IF(AND(Stammblatt!$I$9=TRUE,GHSTK&lt;=1570000),AM34/2,AM34))</f>
        <v>1784.081086444078</v>
      </c>
      <c r="I34" s="1164"/>
      <c r="J34" s="554"/>
      <c r="K34" s="555"/>
      <c r="L34" s="492"/>
      <c r="M34" s="492"/>
      <c r="N34" s="445"/>
      <c r="O34" s="1156"/>
      <c r="P34" s="1162"/>
      <c r="Q34" s="1170"/>
      <c r="R34" s="1156"/>
      <c r="S34" s="751"/>
      <c r="T34" s="1156"/>
      <c r="U34" s="1156"/>
      <c r="V34" s="1158"/>
      <c r="W34" s="1158"/>
      <c r="X34" s="1156"/>
      <c r="Y34" s="1162"/>
      <c r="Z34" s="1170"/>
      <c r="AA34" s="1156"/>
      <c r="AB34" s="391"/>
      <c r="AC34" s="447"/>
      <c r="AD34" s="1154"/>
      <c r="AE34" s="1154"/>
      <c r="AF34" s="1152"/>
      <c r="AG34" s="1160"/>
      <c r="AH34" s="414"/>
      <c r="AI34" s="558">
        <f ca="1">IF(AJ34=TRUE,H34*0.8,H34)</f>
        <v>1784.081086444078</v>
      </c>
      <c r="AJ34" s="414" t="b">
        <v>0</v>
      </c>
      <c r="AK34" s="416">
        <f t="shared" si="13"/>
        <v>2140.8973037328933</v>
      </c>
      <c r="AL34" s="416">
        <f t="shared" si="14"/>
        <v>2319.3054123773013</v>
      </c>
      <c r="AM34" s="416">
        <f>IF(AND(Stammblatt!$I$7=TRUE,Stammblatt!$I$8=FALSE),Kollektivvertrag!E17,Kollektivvertrag!E18)</f>
        <v>1784.081086444078</v>
      </c>
      <c r="AN34" s="894"/>
      <c r="AO34" s="419"/>
      <c r="AP34" s="258" t="s">
        <v>45</v>
      </c>
      <c r="AQ34" s="258" t="s">
        <v>351</v>
      </c>
      <c r="AR34" s="417"/>
      <c r="AS34" s="281"/>
      <c r="AT34" s="281"/>
      <c r="AU34" s="417"/>
      <c r="AV34" s="417"/>
      <c r="AW34" s="420"/>
      <c r="AX34" s="417"/>
      <c r="AY34" s="417"/>
      <c r="AZ34" s="417"/>
      <c r="BA34" s="417"/>
      <c r="BB34" s="417"/>
      <c r="BC34" s="417"/>
      <c r="BD34" s="417"/>
      <c r="BE34" s="417"/>
      <c r="BF34" s="417"/>
      <c r="BG34" s="417"/>
      <c r="BH34" s="417"/>
      <c r="BI34" s="417"/>
      <c r="BJ34" s="417"/>
      <c r="BK34" s="417"/>
      <c r="BL34" s="417"/>
      <c r="BM34" s="417"/>
      <c r="BN34" s="417"/>
      <c r="BO34" s="417"/>
      <c r="BP34" s="417"/>
      <c r="BQ34" s="417"/>
      <c r="BR34" s="417"/>
      <c r="BS34" s="417"/>
      <c r="BT34" s="417"/>
      <c r="BU34" s="417"/>
      <c r="BV34" s="417"/>
      <c r="BW34" s="417"/>
      <c r="BX34" s="417"/>
      <c r="BY34" s="417"/>
      <c r="BZ34" s="417"/>
    </row>
    <row r="35" spans="1:78" s="125" customFormat="1" ht="12.75" customHeight="1" x14ac:dyDescent="0.2">
      <c r="A35" s="531">
        <v>16</v>
      </c>
      <c r="B35" s="528" t="str">
        <f>IF(Stammblatt!$L$4=1,'Kalkulation Herstellungskosten'!AP35,'Kalkulation Herstellungskosten'!AQ35)</f>
        <v>Set-Aufnahmeleitung (2. AL)</v>
      </c>
      <c r="C35" s="123">
        <v>0</v>
      </c>
      <c r="D35" s="544"/>
      <c r="E35" s="128"/>
      <c r="F35" s="547">
        <f t="shared" si="11"/>
        <v>0</v>
      </c>
      <c r="G35" s="1159">
        <f>C35*E35+C36*E36</f>
        <v>0</v>
      </c>
      <c r="H35" s="124">
        <f>IF(Stammblatt!$I$9=TRUE,Kollektivvertrag!$C$59,Kollektivvertrag!C19)</f>
        <v>1105.0951656124628</v>
      </c>
      <c r="I35" s="1163"/>
      <c r="J35" s="817"/>
      <c r="K35" s="817"/>
      <c r="L35" s="815">
        <f>G35*J35</f>
        <v>0</v>
      </c>
      <c r="M35" s="816">
        <f>G35*K35</f>
        <v>0</v>
      </c>
      <c r="N35" s="820" t="str">
        <f t="shared" ref="N35" si="17">IF((L35+M35)&gt;G35,"?","")</f>
        <v/>
      </c>
      <c r="O35" s="1155"/>
      <c r="P35" s="1161"/>
      <c r="Q35" s="1155"/>
      <c r="R35" s="1155"/>
      <c r="S35" s="751"/>
      <c r="T35" s="1155"/>
      <c r="U35" s="1155"/>
      <c r="V35" s="1157">
        <f>SUM(T35:U36)</f>
        <v>0</v>
      </c>
      <c r="W35" s="1157">
        <f>G35-V35</f>
        <v>0</v>
      </c>
      <c r="X35" s="1155"/>
      <c r="Y35" s="1161"/>
      <c r="Z35" s="1155"/>
      <c r="AA35" s="1155"/>
      <c r="AB35" s="391"/>
      <c r="AC35" s="447"/>
      <c r="AD35" s="1153"/>
      <c r="AE35" s="1153"/>
      <c r="AF35" s="1151"/>
      <c r="AG35" s="1159">
        <f>SUM(G35,AD35:AF36)</f>
        <v>0</v>
      </c>
      <c r="AH35" s="414"/>
      <c r="AI35" s="558">
        <f>IF(AJ36=TRUE,H35*0.8,H35)</f>
        <v>1105.0951656124628</v>
      </c>
      <c r="AJ35" s="414"/>
      <c r="AK35" s="416">
        <f t="shared" ref="AK35:AK66" si="18">H35*1.2</f>
        <v>1326.1141987349554</v>
      </c>
      <c r="AL35" s="416">
        <f t="shared" ref="AL35:AL66" si="19">H35*1.3</f>
        <v>1436.6237152962017</v>
      </c>
      <c r="AM35" s="416"/>
      <c r="AN35" s="894"/>
      <c r="AO35" s="416"/>
      <c r="AP35" s="258" t="s">
        <v>804</v>
      </c>
      <c r="AQ35" s="258" t="s">
        <v>326</v>
      </c>
      <c r="AR35" s="417"/>
      <c r="AS35" s="281"/>
      <c r="AT35" s="281"/>
      <c r="AU35" s="417"/>
      <c r="AV35" s="417"/>
      <c r="AW35" s="417"/>
      <c r="AX35" s="417"/>
      <c r="AY35" s="417"/>
      <c r="AZ35" s="417"/>
      <c r="BA35" s="417"/>
      <c r="BB35" s="417"/>
      <c r="BC35" s="417"/>
      <c r="BD35" s="417"/>
      <c r="BE35" s="417"/>
      <c r="BF35" s="417"/>
      <c r="BG35" s="417"/>
      <c r="BH35" s="417"/>
      <c r="BI35" s="417"/>
      <c r="BJ35" s="417"/>
      <c r="BK35" s="417"/>
      <c r="BL35" s="417"/>
      <c r="BM35" s="417"/>
      <c r="BN35" s="417"/>
      <c r="BO35" s="417"/>
      <c r="BP35" s="417"/>
      <c r="BQ35" s="417"/>
      <c r="BR35" s="417"/>
      <c r="BS35" s="417"/>
      <c r="BT35" s="417"/>
      <c r="BU35" s="417"/>
      <c r="BV35" s="417"/>
      <c r="BW35" s="417"/>
      <c r="BX35" s="417"/>
      <c r="BY35" s="417"/>
      <c r="BZ35" s="417"/>
    </row>
    <row r="36" spans="1:78" s="125" customFormat="1" ht="12.75" customHeight="1" x14ac:dyDescent="0.2">
      <c r="A36" s="529"/>
      <c r="B36" s="530" t="str">
        <f>IF(Stammblatt!$L$4=1,'Kalkulation Herstellungskosten'!AP36,'Kalkulation Herstellungskosten'!AQ36)</f>
        <v xml:space="preserve">Wochenpauschale (§ 7 KV) </v>
      </c>
      <c r="C36" s="118">
        <v>0</v>
      </c>
      <c r="D36" s="545"/>
      <c r="E36" s="119"/>
      <c r="F36" s="548">
        <f t="shared" si="11"/>
        <v>0</v>
      </c>
      <c r="G36" s="1160"/>
      <c r="H36" s="120">
        <f>IF(Stammblatt!$I$9=TRUE,Kollektivvertrag!$E$59,Kollektivvertrag!E19)</f>
        <v>1530.5568043732608</v>
      </c>
      <c r="I36" s="1164"/>
      <c r="J36" s="553"/>
      <c r="K36" s="545"/>
      <c r="L36" s="552"/>
      <c r="M36" s="552"/>
      <c r="N36" s="445"/>
      <c r="O36" s="1156"/>
      <c r="P36" s="1162"/>
      <c r="Q36" s="1156"/>
      <c r="R36" s="1156"/>
      <c r="S36" s="751"/>
      <c r="T36" s="1156"/>
      <c r="U36" s="1156"/>
      <c r="V36" s="1158"/>
      <c r="W36" s="1158"/>
      <c r="X36" s="1156"/>
      <c r="Y36" s="1162"/>
      <c r="Z36" s="1156"/>
      <c r="AA36" s="1156"/>
      <c r="AB36" s="391"/>
      <c r="AC36" s="447"/>
      <c r="AD36" s="1154"/>
      <c r="AE36" s="1154"/>
      <c r="AF36" s="1152"/>
      <c r="AG36" s="1160"/>
      <c r="AH36" s="414"/>
      <c r="AI36" s="558">
        <f>IF(AJ36=TRUE,H36*0.8,H36)</f>
        <v>1530.5568043732608</v>
      </c>
      <c r="AJ36" s="414" t="b">
        <v>0</v>
      </c>
      <c r="AK36" s="416">
        <f t="shared" si="18"/>
        <v>1836.6681652479128</v>
      </c>
      <c r="AL36" s="416">
        <f t="shared" si="19"/>
        <v>1989.723845685239</v>
      </c>
      <c r="AM36" s="416"/>
      <c r="AN36" s="894"/>
      <c r="AO36" s="419"/>
      <c r="AP36" s="258" t="s">
        <v>45</v>
      </c>
      <c r="AQ36" s="258" t="s">
        <v>351</v>
      </c>
      <c r="AR36" s="417"/>
      <c r="AS36" s="281"/>
      <c r="AT36" s="281"/>
      <c r="AU36" s="417"/>
      <c r="AV36" s="417"/>
      <c r="AW36" s="420"/>
      <c r="AX36" s="417"/>
      <c r="AY36" s="417"/>
      <c r="AZ36" s="417"/>
      <c r="BA36" s="417"/>
      <c r="BB36" s="417"/>
      <c r="BC36" s="417"/>
      <c r="BD36" s="417"/>
      <c r="BE36" s="417"/>
      <c r="BF36" s="417"/>
      <c r="BG36" s="417"/>
      <c r="BH36" s="417"/>
      <c r="BI36" s="417"/>
      <c r="BJ36" s="417"/>
      <c r="BK36" s="417"/>
      <c r="BL36" s="417"/>
      <c r="BM36" s="417"/>
      <c r="BN36" s="417"/>
      <c r="BO36" s="417"/>
      <c r="BP36" s="417"/>
      <c r="BQ36" s="417"/>
      <c r="BR36" s="417"/>
      <c r="BS36" s="417"/>
      <c r="BT36" s="417"/>
      <c r="BU36" s="417"/>
      <c r="BV36" s="417"/>
      <c r="BW36" s="417"/>
      <c r="BX36" s="417"/>
      <c r="BY36" s="417"/>
      <c r="BZ36" s="417"/>
    </row>
    <row r="37" spans="1:78" s="125" customFormat="1" ht="12.75" customHeight="1" x14ac:dyDescent="0.2">
      <c r="A37" s="531">
        <v>17</v>
      </c>
      <c r="B37" s="528" t="str">
        <f>IF(Stammblatt!$L$4=1,'Kalkulation Herstellungskosten'!AP37,'Kalkulation Herstellungskosten'!AQ37)</f>
        <v>Produktionskoordination</v>
      </c>
      <c r="C37" s="123">
        <v>0</v>
      </c>
      <c r="D37" s="544"/>
      <c r="E37" s="128"/>
      <c r="F37" s="547">
        <f t="shared" si="11"/>
        <v>0</v>
      </c>
      <c r="G37" s="1159">
        <f>C37*E37+C38*E38</f>
        <v>0</v>
      </c>
      <c r="H37" s="124">
        <f>IF(Stammblatt!$I$9=TRUE,Kollektivvertrag!$C$59,Kollektivvertrag!C34)</f>
        <v>1016.2859009955837</v>
      </c>
      <c r="I37" s="1163"/>
      <c r="J37" s="817"/>
      <c r="K37" s="817"/>
      <c r="L37" s="815">
        <f>G37*J37</f>
        <v>0</v>
      </c>
      <c r="M37" s="816">
        <f>G37*K37</f>
        <v>0</v>
      </c>
      <c r="N37" s="820" t="str">
        <f t="shared" ref="N37" si="20">IF((L37+M37)&gt;G37,"?","")</f>
        <v/>
      </c>
      <c r="O37" s="1155"/>
      <c r="P37" s="1161"/>
      <c r="Q37" s="1169"/>
      <c r="R37" s="1155"/>
      <c r="S37" s="751"/>
      <c r="T37" s="1155"/>
      <c r="U37" s="1155"/>
      <c r="V37" s="1157">
        <f>SUM(T37:U38)</f>
        <v>0</v>
      </c>
      <c r="W37" s="1157">
        <f>G37-V37</f>
        <v>0</v>
      </c>
      <c r="X37" s="1155"/>
      <c r="Y37" s="1161"/>
      <c r="Z37" s="1169"/>
      <c r="AA37" s="1155"/>
      <c r="AB37" s="391"/>
      <c r="AC37" s="447"/>
      <c r="AD37" s="1153"/>
      <c r="AE37" s="1153"/>
      <c r="AF37" s="1151"/>
      <c r="AG37" s="1159">
        <f>SUM(G37,AD37:AF38)</f>
        <v>0</v>
      </c>
      <c r="AH37" s="414"/>
      <c r="AI37" s="558">
        <f>IF(AJ38=TRUE,H37*0.8,H37)</f>
        <v>1016.2859009955837</v>
      </c>
      <c r="AJ37" s="414"/>
      <c r="AK37" s="416">
        <f t="shared" si="18"/>
        <v>1219.5430811947003</v>
      </c>
      <c r="AL37" s="416">
        <f t="shared" si="19"/>
        <v>1321.1716712942589</v>
      </c>
      <c r="AM37" s="416"/>
      <c r="AN37" s="894"/>
      <c r="AO37" s="416"/>
      <c r="AP37" s="258" t="s">
        <v>610</v>
      </c>
      <c r="AQ37" s="258" t="s">
        <v>627</v>
      </c>
      <c r="AR37" s="417"/>
      <c r="AS37" s="281"/>
      <c r="AT37" s="281"/>
      <c r="AU37" s="417"/>
      <c r="AV37" s="417"/>
      <c r="AW37" s="420"/>
      <c r="AX37" s="417"/>
      <c r="AY37" s="417"/>
      <c r="AZ37" s="417"/>
      <c r="BA37" s="417"/>
      <c r="BB37" s="417"/>
      <c r="BC37" s="417"/>
      <c r="BD37" s="417"/>
      <c r="BE37" s="417"/>
      <c r="BF37" s="417"/>
      <c r="BG37" s="417"/>
      <c r="BH37" s="417"/>
      <c r="BI37" s="417"/>
      <c r="BJ37" s="417"/>
      <c r="BK37" s="417"/>
      <c r="BL37" s="417"/>
      <c r="BM37" s="417"/>
      <c r="BN37" s="417"/>
      <c r="BO37" s="417"/>
      <c r="BP37" s="417"/>
      <c r="BQ37" s="417"/>
      <c r="BR37" s="417"/>
      <c r="BS37" s="417"/>
      <c r="BT37" s="417"/>
      <c r="BU37" s="417"/>
      <c r="BV37" s="417"/>
      <c r="BW37" s="417"/>
      <c r="BX37" s="417"/>
      <c r="BY37" s="417"/>
      <c r="BZ37" s="417"/>
    </row>
    <row r="38" spans="1:78" s="125" customFormat="1" ht="12.75" customHeight="1" x14ac:dyDescent="0.2">
      <c r="A38" s="529"/>
      <c r="B38" s="530" t="str">
        <f>IF(Stammblatt!$L$4=1,'Kalkulation Herstellungskosten'!AP38,'Kalkulation Herstellungskosten'!AQ38)</f>
        <v xml:space="preserve">Wochenpauschale (§ 7 KV) </v>
      </c>
      <c r="C38" s="118">
        <v>0</v>
      </c>
      <c r="D38" s="545"/>
      <c r="E38" s="119"/>
      <c r="F38" s="548">
        <f t="shared" si="11"/>
        <v>0</v>
      </c>
      <c r="G38" s="1160"/>
      <c r="H38" s="120">
        <f>IF(Stammblatt!$I$9=TRUE,Kollektivvertrag!$E$59,Kollektivvertrag!E34)</f>
        <v>1407.5559728788833</v>
      </c>
      <c r="I38" s="1164"/>
      <c r="J38" s="554"/>
      <c r="K38" s="555"/>
      <c r="L38" s="492"/>
      <c r="M38" s="492"/>
      <c r="N38" s="445"/>
      <c r="O38" s="1156"/>
      <c r="P38" s="1162"/>
      <c r="Q38" s="1170"/>
      <c r="R38" s="1156"/>
      <c r="S38" s="751"/>
      <c r="T38" s="1156"/>
      <c r="U38" s="1156"/>
      <c r="V38" s="1158"/>
      <c r="W38" s="1158"/>
      <c r="X38" s="1156"/>
      <c r="Y38" s="1162"/>
      <c r="Z38" s="1170"/>
      <c r="AA38" s="1156"/>
      <c r="AB38" s="391"/>
      <c r="AC38" s="447"/>
      <c r="AD38" s="1154"/>
      <c r="AE38" s="1154"/>
      <c r="AF38" s="1152"/>
      <c r="AG38" s="1160"/>
      <c r="AH38" s="414"/>
      <c r="AI38" s="558">
        <f>IF(AJ38=TRUE,H38*0.8,H38)</f>
        <v>1407.5559728788833</v>
      </c>
      <c r="AJ38" s="414" t="b">
        <v>0</v>
      </c>
      <c r="AK38" s="416">
        <f t="shared" si="18"/>
        <v>1689.06716745466</v>
      </c>
      <c r="AL38" s="416">
        <f t="shared" si="19"/>
        <v>1829.8227647425483</v>
      </c>
      <c r="AM38" s="416"/>
      <c r="AN38" s="894"/>
      <c r="AO38" s="419"/>
      <c r="AP38" s="258" t="s">
        <v>45</v>
      </c>
      <c r="AQ38" s="258" t="s">
        <v>351</v>
      </c>
      <c r="AR38" s="417"/>
      <c r="AS38" s="281"/>
      <c r="AT38" s="281"/>
      <c r="AU38" s="417"/>
      <c r="AV38" s="417"/>
      <c r="AW38" s="420"/>
      <c r="AX38" s="417"/>
      <c r="AY38" s="417"/>
      <c r="AZ38" s="417"/>
      <c r="BA38" s="417"/>
      <c r="BB38" s="417"/>
      <c r="BC38" s="417"/>
      <c r="BD38" s="417"/>
      <c r="BE38" s="417"/>
      <c r="BF38" s="417"/>
      <c r="BG38" s="417"/>
      <c r="BH38" s="417"/>
      <c r="BI38" s="417"/>
      <c r="BJ38" s="417"/>
      <c r="BK38" s="417"/>
      <c r="BL38" s="417"/>
      <c r="BM38" s="417"/>
      <c r="BN38" s="417"/>
      <c r="BO38" s="417"/>
      <c r="BP38" s="417"/>
      <c r="BQ38" s="417"/>
      <c r="BR38" s="417"/>
      <c r="BS38" s="417"/>
      <c r="BT38" s="417"/>
      <c r="BU38" s="417"/>
      <c r="BV38" s="417"/>
      <c r="BW38" s="417"/>
      <c r="BX38" s="417"/>
      <c r="BY38" s="417"/>
      <c r="BZ38" s="417"/>
    </row>
    <row r="39" spans="1:78" s="125" customFormat="1" ht="12.75" customHeight="1" x14ac:dyDescent="0.2">
      <c r="A39" s="531">
        <v>18</v>
      </c>
      <c r="B39" s="528" t="str">
        <f>IF(Stammblatt!$L$4=1,'Kalkulation Herstellungskosten'!AP39,'Kalkulation Herstellungskosten'!AQ39)</f>
        <v>Postproduktionskoordination</v>
      </c>
      <c r="C39" s="123">
        <v>0</v>
      </c>
      <c r="D39" s="544"/>
      <c r="E39" s="128"/>
      <c r="F39" s="547">
        <f t="shared" si="11"/>
        <v>0</v>
      </c>
      <c r="G39" s="1159">
        <f>C39*E39+C40*E40</f>
        <v>0</v>
      </c>
      <c r="H39" s="124">
        <f>IF(Stammblatt!$I$9=TRUE,Kollektivvertrag!$C$59,Kollektivvertrag!C35)</f>
        <v>1220.2361712496029</v>
      </c>
      <c r="I39" s="1163"/>
      <c r="J39" s="817"/>
      <c r="K39" s="817"/>
      <c r="L39" s="815">
        <f>G39*J39</f>
        <v>0</v>
      </c>
      <c r="M39" s="816">
        <f>G39*K39</f>
        <v>0</v>
      </c>
      <c r="N39" s="820" t="str">
        <f t="shared" ref="N39" si="21">IF((L39+M39)&gt;G39,"?","")</f>
        <v/>
      </c>
      <c r="O39" s="1155"/>
      <c r="P39" s="1161"/>
      <c r="Q39" s="1155"/>
      <c r="R39" s="1155"/>
      <c r="S39" s="751"/>
      <c r="T39" s="1155"/>
      <c r="U39" s="1155"/>
      <c r="V39" s="1157">
        <f>SUM(T39:U40)</f>
        <v>0</v>
      </c>
      <c r="W39" s="1157">
        <f>G39-V39</f>
        <v>0</v>
      </c>
      <c r="X39" s="1155"/>
      <c r="Y39" s="1161"/>
      <c r="Z39" s="1155"/>
      <c r="AA39" s="1155"/>
      <c r="AB39" s="391"/>
      <c r="AC39" s="447"/>
      <c r="AD39" s="1153"/>
      <c r="AE39" s="1153"/>
      <c r="AF39" s="1151"/>
      <c r="AG39" s="1159">
        <f>SUM(G39,AD39:AF40)</f>
        <v>0</v>
      </c>
      <c r="AH39" s="414"/>
      <c r="AI39" s="558">
        <f>IF(AJ40=TRUE,H39*0.8,H39)</f>
        <v>1220.2361712496029</v>
      </c>
      <c r="AJ39" s="414"/>
      <c r="AK39" s="416">
        <f t="shared" si="18"/>
        <v>1464.2834054995235</v>
      </c>
      <c r="AL39" s="416">
        <f t="shared" si="19"/>
        <v>1586.3070226244838</v>
      </c>
      <c r="AM39" s="416"/>
      <c r="AN39" s="894"/>
      <c r="AO39" s="416"/>
      <c r="AP39" s="258" t="s">
        <v>611</v>
      </c>
      <c r="AQ39" s="258" t="s">
        <v>552</v>
      </c>
      <c r="AR39" s="417"/>
      <c r="AS39" s="281"/>
      <c r="AT39" s="281"/>
      <c r="AU39" s="417"/>
      <c r="AV39" s="417"/>
      <c r="AW39" s="417"/>
      <c r="AX39" s="417"/>
      <c r="AY39" s="417"/>
      <c r="AZ39" s="417"/>
      <c r="BA39" s="417"/>
      <c r="BB39" s="417"/>
      <c r="BC39" s="417"/>
      <c r="BD39" s="417"/>
      <c r="BE39" s="417"/>
      <c r="BF39" s="417"/>
      <c r="BG39" s="417"/>
      <c r="BH39" s="417"/>
      <c r="BI39" s="417"/>
      <c r="BJ39" s="417"/>
      <c r="BK39" s="417"/>
      <c r="BL39" s="417"/>
      <c r="BM39" s="417"/>
      <c r="BN39" s="417"/>
      <c r="BO39" s="417"/>
      <c r="BP39" s="417"/>
      <c r="BQ39" s="417"/>
      <c r="BR39" s="417"/>
      <c r="BS39" s="417"/>
      <c r="BT39" s="417"/>
      <c r="BU39" s="417"/>
      <c r="BV39" s="417"/>
      <c r="BW39" s="417"/>
      <c r="BX39" s="417"/>
      <c r="BY39" s="417"/>
      <c r="BZ39" s="417"/>
    </row>
    <row r="40" spans="1:78" s="125" customFormat="1" ht="12.75" customHeight="1" x14ac:dyDescent="0.2">
      <c r="A40" s="529"/>
      <c r="B40" s="530" t="str">
        <f>IF(Stammblatt!$L$4=1,'Kalkulation Herstellungskosten'!AP40,'Kalkulation Herstellungskosten'!AQ40)</f>
        <v xml:space="preserve">Wochenpauschale (§ 7 KV) </v>
      </c>
      <c r="C40" s="118">
        <v>0</v>
      </c>
      <c r="D40" s="545"/>
      <c r="E40" s="119"/>
      <c r="F40" s="548">
        <f t="shared" si="11"/>
        <v>0</v>
      </c>
      <c r="G40" s="1160"/>
      <c r="H40" s="120">
        <f>IF(Stammblatt!$I$9=TRUE,Kollektivvertrag!$E$59,Kollektivvertrag!E35)</f>
        <v>1690.0270971806999</v>
      </c>
      <c r="I40" s="1164"/>
      <c r="J40" s="553"/>
      <c r="K40" s="545"/>
      <c r="L40" s="552"/>
      <c r="M40" s="552"/>
      <c r="N40" s="445"/>
      <c r="O40" s="1156"/>
      <c r="P40" s="1162"/>
      <c r="Q40" s="1156"/>
      <c r="R40" s="1156"/>
      <c r="S40" s="751"/>
      <c r="T40" s="1156"/>
      <c r="U40" s="1156"/>
      <c r="V40" s="1158"/>
      <c r="W40" s="1158"/>
      <c r="X40" s="1156"/>
      <c r="Y40" s="1162"/>
      <c r="Z40" s="1156"/>
      <c r="AA40" s="1156"/>
      <c r="AB40" s="391"/>
      <c r="AC40" s="447"/>
      <c r="AD40" s="1154"/>
      <c r="AE40" s="1154"/>
      <c r="AF40" s="1152"/>
      <c r="AG40" s="1160"/>
      <c r="AH40" s="414"/>
      <c r="AI40" s="558">
        <f>IF(AJ40=TRUE,H40*0.8,H40)</f>
        <v>1690.0270971806999</v>
      </c>
      <c r="AJ40" s="414" t="b">
        <v>0</v>
      </c>
      <c r="AK40" s="416">
        <f t="shared" si="18"/>
        <v>2028.0325166168398</v>
      </c>
      <c r="AL40" s="416">
        <f t="shared" si="19"/>
        <v>2197.03522633491</v>
      </c>
      <c r="AM40" s="416"/>
      <c r="AN40" s="894"/>
      <c r="AO40" s="419"/>
      <c r="AP40" s="258" t="s">
        <v>45</v>
      </c>
      <c r="AQ40" s="258" t="s">
        <v>351</v>
      </c>
      <c r="AR40" s="417"/>
      <c r="AS40" s="281"/>
      <c r="AT40" s="281"/>
      <c r="AU40" s="417"/>
      <c r="AV40" s="417"/>
      <c r="AW40" s="420"/>
      <c r="AX40" s="417"/>
      <c r="AY40" s="417"/>
      <c r="AZ40" s="417"/>
      <c r="BA40" s="417"/>
      <c r="BB40" s="417"/>
      <c r="BC40" s="417"/>
      <c r="BD40" s="417"/>
      <c r="BE40" s="417"/>
      <c r="BF40" s="417"/>
      <c r="BG40" s="417"/>
      <c r="BH40" s="417"/>
      <c r="BI40" s="417"/>
      <c r="BJ40" s="417"/>
      <c r="BK40" s="417"/>
      <c r="BL40" s="417"/>
      <c r="BM40" s="417"/>
      <c r="BN40" s="417"/>
      <c r="BO40" s="417"/>
      <c r="BP40" s="417"/>
      <c r="BQ40" s="417"/>
      <c r="BR40" s="417"/>
      <c r="BS40" s="417"/>
      <c r="BT40" s="417"/>
      <c r="BU40" s="417"/>
      <c r="BV40" s="417"/>
      <c r="BW40" s="417"/>
      <c r="BX40" s="417"/>
      <c r="BY40" s="417"/>
      <c r="BZ40" s="417"/>
    </row>
    <row r="41" spans="1:78" s="125" customFormat="1" ht="12.75" customHeight="1" x14ac:dyDescent="0.2">
      <c r="A41" s="531">
        <v>19</v>
      </c>
      <c r="B41" s="528" t="str">
        <f>IF(Stammblatt!$L$4=1,'Kalkulation Herstellungskosten'!AP41,'Kalkulation Herstellungskosten'!AQ41)</f>
        <v>Produktionsassistenz</v>
      </c>
      <c r="C41" s="123">
        <v>0</v>
      </c>
      <c r="D41" s="544"/>
      <c r="E41" s="128"/>
      <c r="F41" s="547">
        <f t="shared" si="11"/>
        <v>0</v>
      </c>
      <c r="G41" s="1159">
        <f>C41*E41+C42*E42</f>
        <v>0</v>
      </c>
      <c r="H41" s="124">
        <f>IF(Stammblatt!$I$9=TRUE,Kollektivvertrag!$C$59,Kollektivvertrag!C23)</f>
        <v>864.75766747607622</v>
      </c>
      <c r="I41" s="1163"/>
      <c r="J41" s="817"/>
      <c r="K41" s="817"/>
      <c r="L41" s="815">
        <f>G41*J41</f>
        <v>0</v>
      </c>
      <c r="M41" s="816">
        <f>G41*K41</f>
        <v>0</v>
      </c>
      <c r="N41" s="820" t="str">
        <f t="shared" ref="N41" si="22">IF((L41+M41)&gt;G41,"?","")</f>
        <v/>
      </c>
      <c r="O41" s="1155"/>
      <c r="P41" s="1161"/>
      <c r="Q41" s="1169"/>
      <c r="R41" s="1155"/>
      <c r="S41" s="751"/>
      <c r="T41" s="1155"/>
      <c r="U41" s="1155"/>
      <c r="V41" s="1157">
        <f>SUM(T41:U42)</f>
        <v>0</v>
      </c>
      <c r="W41" s="1157">
        <f>G41-V41</f>
        <v>0</v>
      </c>
      <c r="X41" s="1155"/>
      <c r="Y41" s="1161"/>
      <c r="Z41" s="1169"/>
      <c r="AA41" s="1155"/>
      <c r="AB41" s="391"/>
      <c r="AC41" s="447"/>
      <c r="AD41" s="1153"/>
      <c r="AE41" s="1153"/>
      <c r="AF41" s="1151"/>
      <c r="AG41" s="1159">
        <f>SUM(G41,AD41:AF42)</f>
        <v>0</v>
      </c>
      <c r="AH41" s="414"/>
      <c r="AI41" s="558">
        <f>IF(AJ42=TRUE,H41*0.8,H41)</f>
        <v>864.75766747607622</v>
      </c>
      <c r="AJ41" s="414"/>
      <c r="AK41" s="416">
        <f t="shared" si="18"/>
        <v>1037.7092009712915</v>
      </c>
      <c r="AL41" s="416">
        <f t="shared" si="19"/>
        <v>1124.1849677188991</v>
      </c>
      <c r="AM41" s="416"/>
      <c r="AN41" s="894"/>
      <c r="AO41" s="419"/>
      <c r="AP41" s="258" t="s">
        <v>606</v>
      </c>
      <c r="AQ41" s="258" t="s">
        <v>628</v>
      </c>
      <c r="AR41" s="417"/>
      <c r="AS41" s="281"/>
      <c r="AT41" s="281"/>
      <c r="AU41" s="417"/>
      <c r="AV41" s="417"/>
      <c r="AW41" s="417"/>
      <c r="AX41" s="417"/>
      <c r="AY41" s="417"/>
      <c r="AZ41" s="417"/>
      <c r="BA41" s="417"/>
      <c r="BB41" s="417"/>
      <c r="BC41" s="417"/>
      <c r="BD41" s="417"/>
      <c r="BE41" s="417"/>
      <c r="BF41" s="417"/>
      <c r="BG41" s="417"/>
      <c r="BH41" s="417"/>
      <c r="BI41" s="417"/>
      <c r="BJ41" s="417"/>
      <c r="BK41" s="417"/>
      <c r="BL41" s="417"/>
      <c r="BM41" s="417"/>
      <c r="BN41" s="417"/>
      <c r="BO41" s="417"/>
      <c r="BP41" s="417"/>
      <c r="BQ41" s="417"/>
      <c r="BR41" s="417"/>
      <c r="BS41" s="417"/>
      <c r="BT41" s="417"/>
      <c r="BU41" s="417"/>
      <c r="BV41" s="417"/>
      <c r="BW41" s="417"/>
      <c r="BX41" s="417"/>
      <c r="BY41" s="417"/>
      <c r="BZ41" s="417"/>
    </row>
    <row r="42" spans="1:78" s="125" customFormat="1" ht="12.75" customHeight="1" x14ac:dyDescent="0.2">
      <c r="A42" s="529"/>
      <c r="B42" s="530" t="str">
        <f>IF(Stammblatt!$L$4=1,'Kalkulation Herstellungskosten'!AP42,'Kalkulation Herstellungskosten'!AQ42)</f>
        <v xml:space="preserve">Wochenpauschale (§ 7 KV) </v>
      </c>
      <c r="C42" s="118">
        <v>0</v>
      </c>
      <c r="D42" s="545"/>
      <c r="E42" s="119"/>
      <c r="F42" s="548">
        <f t="shared" si="11"/>
        <v>0</v>
      </c>
      <c r="G42" s="1160"/>
      <c r="H42" s="120">
        <f>IF(Stammblatt!$I$9=TRUE,Kollektivvertrag!$E$59,Kollektivvertrag!E23)</f>
        <v>1197.6893694543655</v>
      </c>
      <c r="I42" s="1164"/>
      <c r="J42" s="554"/>
      <c r="K42" s="555"/>
      <c r="L42" s="492"/>
      <c r="M42" s="492"/>
      <c r="N42" s="445"/>
      <c r="O42" s="1156"/>
      <c r="P42" s="1162"/>
      <c r="Q42" s="1170"/>
      <c r="R42" s="1156"/>
      <c r="S42" s="751"/>
      <c r="T42" s="1156"/>
      <c r="U42" s="1156"/>
      <c r="V42" s="1158"/>
      <c r="W42" s="1158"/>
      <c r="X42" s="1156"/>
      <c r="Y42" s="1162"/>
      <c r="Z42" s="1170"/>
      <c r="AA42" s="1156"/>
      <c r="AB42" s="391"/>
      <c r="AC42" s="447"/>
      <c r="AD42" s="1154"/>
      <c r="AE42" s="1154"/>
      <c r="AF42" s="1152"/>
      <c r="AG42" s="1160"/>
      <c r="AH42" s="414"/>
      <c r="AI42" s="558">
        <f>IF(AJ42=TRUE,H42*0.8,H42)</f>
        <v>1197.6893694543655</v>
      </c>
      <c r="AJ42" s="414" t="b">
        <v>0</v>
      </c>
      <c r="AK42" s="416">
        <f t="shared" si="18"/>
        <v>1437.2272433452385</v>
      </c>
      <c r="AL42" s="416">
        <f t="shared" si="19"/>
        <v>1556.9961802906753</v>
      </c>
      <c r="AM42" s="416"/>
      <c r="AN42" s="894"/>
      <c r="AO42" s="419"/>
      <c r="AP42" s="258" t="s">
        <v>45</v>
      </c>
      <c r="AQ42" s="258" t="s">
        <v>351</v>
      </c>
      <c r="AR42" s="417"/>
      <c r="AS42" s="281"/>
      <c r="AT42" s="281"/>
      <c r="AU42" s="417"/>
      <c r="AV42" s="417"/>
      <c r="AW42" s="420"/>
      <c r="AX42" s="417"/>
      <c r="AY42" s="417"/>
      <c r="AZ42" s="417"/>
      <c r="BA42" s="417"/>
      <c r="BB42" s="417"/>
      <c r="BC42" s="417"/>
      <c r="BD42" s="417"/>
      <c r="BE42" s="417"/>
      <c r="BF42" s="417"/>
      <c r="BG42" s="417"/>
      <c r="BH42" s="417"/>
      <c r="BI42" s="417"/>
      <c r="BJ42" s="417"/>
      <c r="BK42" s="417"/>
      <c r="BL42" s="417"/>
      <c r="BM42" s="417"/>
      <c r="BN42" s="417"/>
      <c r="BO42" s="417"/>
      <c r="BP42" s="417"/>
      <c r="BQ42" s="417"/>
      <c r="BR42" s="417"/>
      <c r="BS42" s="417"/>
      <c r="BT42" s="417"/>
      <c r="BU42" s="417"/>
      <c r="BV42" s="417"/>
      <c r="BW42" s="417"/>
      <c r="BX42" s="417"/>
      <c r="BY42" s="417"/>
      <c r="BZ42" s="417"/>
    </row>
    <row r="43" spans="1:78" s="125" customFormat="1" ht="12.75" customHeight="1" x14ac:dyDescent="0.2">
      <c r="A43" s="531">
        <v>20</v>
      </c>
      <c r="B43" s="528" t="str">
        <f>IF(Stammblatt!$L$4=1,'Kalkulation Herstellungskosten'!AP43,'Kalkulation Herstellungskosten'!AQ43)</f>
        <v>Filmgeschäftsführung</v>
      </c>
      <c r="C43" s="123">
        <v>0</v>
      </c>
      <c r="D43" s="544"/>
      <c r="E43" s="128"/>
      <c r="F43" s="547">
        <f t="shared" si="11"/>
        <v>0</v>
      </c>
      <c r="G43" s="1159">
        <f>C43*E43+C44*E44</f>
        <v>0</v>
      </c>
      <c r="H43" s="124">
        <f ca="1">IF(AND(Stammblatt!$I$9=TRUE,GHSTK&lt;=1220000),Kollektivvertrag!$C$59,IF(AND(Stammblatt!$I$9=TRUE,GHSTK&lt;=1570000),Kollektivvertrag!C22/2,Kollektivvertrag!C22))</f>
        <v>1427.9359450793227</v>
      </c>
      <c r="I43" s="1163"/>
      <c r="J43" s="817"/>
      <c r="K43" s="817"/>
      <c r="L43" s="815">
        <f>G43*J43</f>
        <v>0</v>
      </c>
      <c r="M43" s="816">
        <f>G43*K43</f>
        <v>0</v>
      </c>
      <c r="N43" s="820" t="str">
        <f t="shared" ref="N43" si="23">IF((L43+M43)&gt;G43,"?","")</f>
        <v/>
      </c>
      <c r="O43" s="1155"/>
      <c r="P43" s="1161"/>
      <c r="Q43" s="1169"/>
      <c r="R43" s="1155"/>
      <c r="S43" s="751"/>
      <c r="T43" s="1155"/>
      <c r="U43" s="1155"/>
      <c r="V43" s="1157">
        <f>SUM(T43:U44)</f>
        <v>0</v>
      </c>
      <c r="W43" s="1157">
        <f>G43-V43</f>
        <v>0</v>
      </c>
      <c r="X43" s="1155"/>
      <c r="Y43" s="1161"/>
      <c r="Z43" s="1169"/>
      <c r="AA43" s="1155"/>
      <c r="AB43" s="391"/>
      <c r="AC43" s="447"/>
      <c r="AD43" s="1153"/>
      <c r="AE43" s="1153"/>
      <c r="AF43" s="1151"/>
      <c r="AG43" s="1159">
        <f>SUM(G43,AD43:AF44)</f>
        <v>0</v>
      </c>
      <c r="AH43" s="414"/>
      <c r="AI43" s="558">
        <f ca="1">IF(AJ44=TRUE,H43*0.8,H43)</f>
        <v>1427.9359450793227</v>
      </c>
      <c r="AJ43" s="414"/>
      <c r="AK43" s="416">
        <f t="shared" ca="1" si="18"/>
        <v>1713.5231340951871</v>
      </c>
      <c r="AL43" s="416">
        <f t="shared" ca="1" si="19"/>
        <v>1856.3167286031196</v>
      </c>
      <c r="AM43" s="416"/>
      <c r="AN43" s="894"/>
      <c r="AO43" s="416"/>
      <c r="AP43" s="258" t="s">
        <v>185</v>
      </c>
      <c r="AQ43" s="258" t="s">
        <v>294</v>
      </c>
      <c r="AR43" s="417"/>
      <c r="AS43" s="281"/>
      <c r="AT43" s="281"/>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row>
    <row r="44" spans="1:78" s="125" customFormat="1" ht="12.75" customHeight="1" x14ac:dyDescent="0.2">
      <c r="A44" s="529"/>
      <c r="B44" s="530" t="str">
        <f>IF(Stammblatt!$L$4=1,'Kalkulation Herstellungskosten'!AP44,'Kalkulation Herstellungskosten'!AQ44)</f>
        <v xml:space="preserve">Wochenpauschale (§ 7 KV) </v>
      </c>
      <c r="C44" s="118">
        <v>0</v>
      </c>
      <c r="D44" s="545"/>
      <c r="E44" s="119"/>
      <c r="F44" s="548">
        <f t="shared" si="11"/>
        <v>0</v>
      </c>
      <c r="G44" s="1160"/>
      <c r="H44" s="120">
        <f ca="1">IF(AND(Stammblatt!$I$9=TRUE,GHSTK&lt;=1220000),Kollektivvertrag!$E$59,IF(AND(Stammblatt!$I$9=TRUE,GHSTK&lt;=1570000),Kollektivvertrag!E22/2,Kollektivvertrag!E22))</f>
        <v>1977.6912839348618</v>
      </c>
      <c r="I44" s="1164"/>
      <c r="J44" s="554"/>
      <c r="K44" s="555"/>
      <c r="L44" s="492"/>
      <c r="M44" s="492"/>
      <c r="N44" s="445"/>
      <c r="O44" s="1156"/>
      <c r="P44" s="1162"/>
      <c r="Q44" s="1170"/>
      <c r="R44" s="1156"/>
      <c r="S44" s="751"/>
      <c r="T44" s="1156"/>
      <c r="U44" s="1156"/>
      <c r="V44" s="1158"/>
      <c r="W44" s="1158"/>
      <c r="X44" s="1156"/>
      <c r="Y44" s="1162"/>
      <c r="Z44" s="1170"/>
      <c r="AA44" s="1156"/>
      <c r="AB44" s="391"/>
      <c r="AC44" s="447"/>
      <c r="AD44" s="1154"/>
      <c r="AE44" s="1154"/>
      <c r="AF44" s="1152"/>
      <c r="AG44" s="1160"/>
      <c r="AH44" s="414"/>
      <c r="AI44" s="558">
        <f ca="1">IF(AJ44=TRUE,H44*0.8,H44)</f>
        <v>1977.6912839348618</v>
      </c>
      <c r="AJ44" s="414" t="b">
        <v>0</v>
      </c>
      <c r="AK44" s="416">
        <f t="shared" ca="1" si="18"/>
        <v>2373.2295407218339</v>
      </c>
      <c r="AL44" s="416">
        <f t="shared" ca="1" si="19"/>
        <v>2570.9986691153204</v>
      </c>
      <c r="AM44" s="416"/>
      <c r="AN44" s="894"/>
      <c r="AO44" s="419"/>
      <c r="AP44" s="258" t="s">
        <v>45</v>
      </c>
      <c r="AQ44" s="258" t="s">
        <v>351</v>
      </c>
      <c r="AR44" s="417"/>
      <c r="AS44" s="281"/>
      <c r="AT44" s="281"/>
      <c r="AU44" s="417"/>
      <c r="AV44" s="417"/>
      <c r="AW44" s="420"/>
      <c r="AX44" s="417"/>
      <c r="AY44" s="417"/>
      <c r="AZ44" s="417"/>
      <c r="BA44" s="417"/>
      <c r="BB44" s="417"/>
      <c r="BC44" s="417"/>
      <c r="BD44" s="417"/>
      <c r="BE44" s="417"/>
      <c r="BF44" s="417"/>
      <c r="BG44" s="417"/>
      <c r="BH44" s="417"/>
      <c r="BI44" s="417"/>
      <c r="BJ44" s="417"/>
      <c r="BK44" s="417"/>
      <c r="BL44" s="417"/>
      <c r="BM44" s="417"/>
      <c r="BN44" s="417"/>
      <c r="BO44" s="417"/>
      <c r="BP44" s="417"/>
      <c r="BQ44" s="417"/>
      <c r="BR44" s="417"/>
      <c r="BS44" s="417"/>
      <c r="BT44" s="417"/>
      <c r="BU44" s="417"/>
      <c r="BV44" s="417"/>
      <c r="BW44" s="417"/>
      <c r="BX44" s="417"/>
      <c r="BY44" s="417"/>
      <c r="BZ44" s="417"/>
    </row>
    <row r="45" spans="1:78" s="125" customFormat="1" ht="25.5" customHeight="1" x14ac:dyDescent="0.2">
      <c r="A45" s="531">
        <v>21</v>
      </c>
      <c r="B45" s="533" t="str">
        <f>IF(Stammblatt!$L$4=1,'Kalkulation Herstellungskosten'!AP45,'Kalkulation Herstellungskosten'!AQ45)</f>
        <v>Regie</v>
      </c>
      <c r="C45" s="129">
        <v>0</v>
      </c>
      <c r="D45" s="546"/>
      <c r="E45" s="126"/>
      <c r="F45" s="443">
        <f>G45</f>
        <v>0</v>
      </c>
      <c r="G45" s="549">
        <f>C45*E45</f>
        <v>0</v>
      </c>
      <c r="H45" s="137">
        <f ca="1">AI45</f>
        <v>0</v>
      </c>
      <c r="I45" s="556"/>
      <c r="J45" s="822"/>
      <c r="K45" s="822"/>
      <c r="L45" s="711">
        <f>G45*J45</f>
        <v>0</v>
      </c>
      <c r="M45" s="711">
        <f>G45*K45</f>
        <v>0</v>
      </c>
      <c r="N45" s="821" t="str">
        <f t="shared" ref="N45:N46" si="24">IF((L45+M45)&gt;G45,"?","")</f>
        <v/>
      </c>
      <c r="O45" s="749"/>
      <c r="P45" s="742"/>
      <c r="Q45" s="743"/>
      <c r="R45" s="741"/>
      <c r="S45" s="751"/>
      <c r="T45" s="743"/>
      <c r="U45" s="105"/>
      <c r="V45" s="562">
        <f>SUM(T45:U45)</f>
        <v>0</v>
      </c>
      <c r="W45" s="562">
        <f>G45-V45</f>
        <v>0</v>
      </c>
      <c r="X45" s="749"/>
      <c r="Y45" s="742"/>
      <c r="Z45" s="743"/>
      <c r="AA45" s="741"/>
      <c r="AB45" s="391"/>
      <c r="AC45" s="447"/>
      <c r="AD45" s="127"/>
      <c r="AE45" s="127"/>
      <c r="AF45" s="731"/>
      <c r="AG45" s="551">
        <f>SUM(G45,AD45:AF45)</f>
        <v>0</v>
      </c>
      <c r="AH45" s="414"/>
      <c r="AI45" s="558">
        <f ca="1">ROUND(IF(AJ45=TRUE,AN45*0.8,AN45),-1)</f>
        <v>0</v>
      </c>
      <c r="AJ45" s="414" t="b">
        <v>0</v>
      </c>
      <c r="AK45" s="898">
        <f ca="1">ROUND(Regie_Richtsatz*0.85,-1)</f>
        <v>0</v>
      </c>
      <c r="AL45" s="898">
        <f ca="1">ROUND(Regie_Richtsatz*0.7,-1)</f>
        <v>0</v>
      </c>
      <c r="AM45" s="898">
        <f ca="1">Regie_Richtsatz</f>
        <v>0</v>
      </c>
      <c r="AN45" s="898">
        <f ca="1">IF(AND(Stammblatt!I14=TRUE,Stammblatt!I15=TRUE),'Kalkulation Herstellungskosten'!AL45,IF(Stammblatt!I14=TRUE,'Kalkulation Herstellungskosten'!AK45,'Kalkulation Herstellungskosten'!AM45))</f>
        <v>0</v>
      </c>
      <c r="AO45" s="416"/>
      <c r="AP45" s="258" t="s">
        <v>143</v>
      </c>
      <c r="AQ45" s="258" t="s">
        <v>290</v>
      </c>
      <c r="AR45" s="417"/>
      <c r="AS45" s="281"/>
      <c r="AT45" s="281"/>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7"/>
      <c r="BS45" s="417"/>
      <c r="BT45" s="417"/>
      <c r="BU45" s="417"/>
      <c r="BV45" s="417"/>
      <c r="BW45" s="417"/>
      <c r="BX45" s="417"/>
      <c r="BY45" s="417"/>
      <c r="BZ45" s="417"/>
    </row>
    <row r="46" spans="1:78" s="125" customFormat="1" ht="12.75" customHeight="1" x14ac:dyDescent="0.2">
      <c r="A46" s="531">
        <v>22</v>
      </c>
      <c r="B46" s="528" t="str">
        <f>IF(Stammblatt!$L$4=1,'Kalkulation Herstellungskosten'!AP46,'Kalkulation Herstellungskosten'!AQ46)</f>
        <v>Regieassistenz</v>
      </c>
      <c r="C46" s="123">
        <v>0</v>
      </c>
      <c r="D46" s="544"/>
      <c r="E46" s="128"/>
      <c r="F46" s="547">
        <f>E46</f>
        <v>0</v>
      </c>
      <c r="G46" s="1159">
        <f>C46*E46+C47*E47</f>
        <v>0</v>
      </c>
      <c r="H46" s="124">
        <f ca="1">IF(AND(Stammblatt!$I$9=TRUE,GHSTK&lt;=1220000),Kollektivvertrag!$C$59,IF(AND(Stammblatt!$I$9=TRUE,GHSTK&lt;=1570000),Kollektivvertrag!C12/2,Kollektivvertrag!C12))</f>
        <v>1400.4537881892441</v>
      </c>
      <c r="I46" s="1163"/>
      <c r="J46" s="817"/>
      <c r="K46" s="817"/>
      <c r="L46" s="815">
        <f>G46*J46</f>
        <v>0</v>
      </c>
      <c r="M46" s="816">
        <f>G46*K46</f>
        <v>0</v>
      </c>
      <c r="N46" s="820" t="str">
        <f t="shared" si="24"/>
        <v/>
      </c>
      <c r="O46" s="1155"/>
      <c r="P46" s="1161"/>
      <c r="Q46" s="1169"/>
      <c r="R46" s="1155"/>
      <c r="S46" s="751"/>
      <c r="T46" s="1155"/>
      <c r="U46" s="1155"/>
      <c r="V46" s="1157">
        <f>SUM(T46:U47)</f>
        <v>0</v>
      </c>
      <c r="W46" s="1157">
        <f>G46-V46</f>
        <v>0</v>
      </c>
      <c r="X46" s="1155"/>
      <c r="Y46" s="1161"/>
      <c r="Z46" s="1169"/>
      <c r="AA46" s="1155"/>
      <c r="AB46" s="391"/>
      <c r="AC46" s="447"/>
      <c r="AD46" s="1153"/>
      <c r="AE46" s="1153"/>
      <c r="AF46" s="1151"/>
      <c r="AG46" s="1159">
        <f>SUM(G46,AD46:AF47)</f>
        <v>0</v>
      </c>
      <c r="AH46" s="414"/>
      <c r="AI46" s="558">
        <f ca="1">IF(AJ47=TRUE,H46*0.8,H46)</f>
        <v>1400.4537881892441</v>
      </c>
      <c r="AJ46" s="414"/>
      <c r="AK46" s="416">
        <f t="shared" ca="1" si="18"/>
        <v>1680.5445458270929</v>
      </c>
      <c r="AL46" s="416">
        <f t="shared" ca="1" si="19"/>
        <v>1820.5899246460174</v>
      </c>
      <c r="AM46" s="416"/>
      <c r="AN46" s="416"/>
      <c r="AO46" s="416"/>
      <c r="AP46" s="258" t="s">
        <v>602</v>
      </c>
      <c r="AQ46" s="258" t="s">
        <v>352</v>
      </c>
      <c r="AR46" s="417"/>
      <c r="AS46" s="281"/>
      <c r="AT46" s="281"/>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417"/>
      <c r="BR46" s="417"/>
      <c r="BS46" s="417"/>
      <c r="BT46" s="417"/>
      <c r="BU46" s="417"/>
      <c r="BV46" s="417"/>
      <c r="BW46" s="417"/>
      <c r="BX46" s="417"/>
      <c r="BY46" s="417"/>
      <c r="BZ46" s="417"/>
    </row>
    <row r="47" spans="1:78" s="125" customFormat="1" ht="12.75" customHeight="1" x14ac:dyDescent="0.2">
      <c r="A47" s="529"/>
      <c r="B47" s="530" t="str">
        <f>IF(Stammblatt!$L$4=1,'Kalkulation Herstellungskosten'!AP47,'Kalkulation Herstellungskosten'!AQ47)</f>
        <v xml:space="preserve">Wochenpauschale (§ 7 KV) </v>
      </c>
      <c r="C47" s="118">
        <v>0</v>
      </c>
      <c r="D47" s="545"/>
      <c r="E47" s="119"/>
      <c r="F47" s="548">
        <f>E47</f>
        <v>0</v>
      </c>
      <c r="G47" s="1160"/>
      <c r="H47" s="120">
        <f ca="1">IF(AND(Stammblatt!$I$9=TRUE,GHSTK&lt;=1220000),Kollektivvertrag!$E$59,IF(AND(Stammblatt!$I$9=TRUE,GHSTK&lt;=1570000),Kollektivvertrag!E12/2,Kollektivvertrag!E12))</f>
        <v>1939.6284966421031</v>
      </c>
      <c r="I47" s="1164"/>
      <c r="J47" s="554"/>
      <c r="K47" s="555"/>
      <c r="L47" s="492"/>
      <c r="M47" s="492"/>
      <c r="N47" s="445"/>
      <c r="O47" s="1156"/>
      <c r="P47" s="1162"/>
      <c r="Q47" s="1170"/>
      <c r="R47" s="1156"/>
      <c r="S47" s="751"/>
      <c r="T47" s="1156"/>
      <c r="U47" s="1156"/>
      <c r="V47" s="1158"/>
      <c r="W47" s="1158"/>
      <c r="X47" s="1156"/>
      <c r="Y47" s="1162"/>
      <c r="Z47" s="1170"/>
      <c r="AA47" s="1156"/>
      <c r="AB47" s="391"/>
      <c r="AC47" s="447"/>
      <c r="AD47" s="1154"/>
      <c r="AE47" s="1154"/>
      <c r="AF47" s="1152"/>
      <c r="AG47" s="1160"/>
      <c r="AH47" s="414"/>
      <c r="AI47" s="558">
        <f ca="1">IF(AJ47=TRUE,H47*0.8,H47)</f>
        <v>1939.6284966421031</v>
      </c>
      <c r="AJ47" s="414" t="b">
        <v>0</v>
      </c>
      <c r="AK47" s="416">
        <f t="shared" ca="1" si="18"/>
        <v>2327.5541959705238</v>
      </c>
      <c r="AL47" s="416">
        <f t="shared" ca="1" si="19"/>
        <v>2521.5170456347341</v>
      </c>
      <c r="AM47" s="416"/>
      <c r="AN47" s="416"/>
      <c r="AO47" s="419"/>
      <c r="AP47" s="258" t="s">
        <v>45</v>
      </c>
      <c r="AQ47" s="258" t="s">
        <v>351</v>
      </c>
      <c r="AR47" s="417"/>
      <c r="AS47" s="281"/>
      <c r="AT47" s="281"/>
      <c r="AU47" s="417"/>
      <c r="AV47" s="417"/>
      <c r="AW47" s="420"/>
      <c r="AX47" s="417"/>
      <c r="AY47" s="417"/>
      <c r="AZ47" s="417"/>
      <c r="BA47" s="417"/>
      <c r="BB47" s="417"/>
      <c r="BC47" s="417"/>
      <c r="BD47" s="417"/>
      <c r="BE47" s="417"/>
      <c r="BF47" s="417"/>
      <c r="BG47" s="417"/>
      <c r="BH47" s="417"/>
      <c r="BI47" s="417"/>
      <c r="BJ47" s="417"/>
      <c r="BK47" s="417"/>
      <c r="BL47" s="417"/>
      <c r="BM47" s="417"/>
      <c r="BN47" s="417"/>
      <c r="BO47" s="417"/>
      <c r="BP47" s="417"/>
      <c r="BQ47" s="417"/>
      <c r="BR47" s="417"/>
      <c r="BS47" s="417"/>
      <c r="BT47" s="417"/>
      <c r="BU47" s="417"/>
      <c r="BV47" s="417"/>
      <c r="BW47" s="417"/>
      <c r="BX47" s="417"/>
      <c r="BY47" s="417"/>
      <c r="BZ47" s="417"/>
    </row>
    <row r="48" spans="1:78" s="125" customFormat="1" ht="12.75" customHeight="1" x14ac:dyDescent="0.2">
      <c r="A48" s="531">
        <v>23</v>
      </c>
      <c r="B48" s="528" t="str">
        <f>IF(Stammblatt!$L$4=1,'Kalkulation Herstellungskosten'!AP48,'Kalkulation Herstellungskosten'!AQ48)</f>
        <v>Continuity/Skript</v>
      </c>
      <c r="C48" s="123">
        <v>0</v>
      </c>
      <c r="D48" s="544"/>
      <c r="E48" s="128"/>
      <c r="F48" s="547">
        <f t="shared" ref="F48:F79" si="25">E48</f>
        <v>0</v>
      </c>
      <c r="G48" s="1159">
        <f>C48*E48+C49*E49</f>
        <v>0</v>
      </c>
      <c r="H48" s="124">
        <f>IF(Stammblatt!$I$9=TRUE,Kollektivvertrag!$C$59,Kollektivvertrag!C24)</f>
        <v>987.59651757545021</v>
      </c>
      <c r="I48" s="1163"/>
      <c r="J48" s="817"/>
      <c r="K48" s="817"/>
      <c r="L48" s="815">
        <f>G48*J48</f>
        <v>0</v>
      </c>
      <c r="M48" s="816">
        <f>G48*K48</f>
        <v>0</v>
      </c>
      <c r="N48" s="820" t="str">
        <f t="shared" ref="N48" si="26">IF((L48+M48)&gt;G48,"?","")</f>
        <v/>
      </c>
      <c r="O48" s="1155"/>
      <c r="P48" s="1161"/>
      <c r="Q48" s="1169"/>
      <c r="R48" s="1155"/>
      <c r="S48" s="751"/>
      <c r="T48" s="1155"/>
      <c r="U48" s="1155"/>
      <c r="V48" s="1157">
        <f>SUM(T48:U49)</f>
        <v>0</v>
      </c>
      <c r="W48" s="1157">
        <f>G48-V48</f>
        <v>0</v>
      </c>
      <c r="X48" s="1155"/>
      <c r="Y48" s="1161"/>
      <c r="Z48" s="1169"/>
      <c r="AA48" s="1155"/>
      <c r="AB48" s="391"/>
      <c r="AC48" s="447"/>
      <c r="AD48" s="1153"/>
      <c r="AE48" s="1153"/>
      <c r="AF48" s="1151"/>
      <c r="AG48" s="1159">
        <f>SUM(G48,AD48:AF49)</f>
        <v>0</v>
      </c>
      <c r="AH48" s="414"/>
      <c r="AI48" s="558">
        <f>IF(AJ49=TRUE,H48*0.8,H48)</f>
        <v>987.59651757545021</v>
      </c>
      <c r="AJ48" s="414"/>
      <c r="AK48" s="416">
        <f t="shared" si="18"/>
        <v>1185.1158210905403</v>
      </c>
      <c r="AL48" s="416">
        <f t="shared" si="19"/>
        <v>1283.8754728480853</v>
      </c>
      <c r="AM48" s="416"/>
      <c r="AN48" s="416"/>
      <c r="AO48" s="416"/>
      <c r="AP48" s="258" t="s">
        <v>629</v>
      </c>
      <c r="AQ48" s="258" t="s">
        <v>327</v>
      </c>
      <c r="AR48" s="417"/>
      <c r="AS48" s="281"/>
      <c r="AT48" s="281"/>
      <c r="AU48" s="417"/>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417"/>
      <c r="BR48" s="417"/>
      <c r="BS48" s="417"/>
      <c r="BT48" s="417"/>
      <c r="BU48" s="417"/>
      <c r="BV48" s="417"/>
      <c r="BW48" s="417"/>
      <c r="BX48" s="417"/>
      <c r="BY48" s="417"/>
      <c r="BZ48" s="417"/>
    </row>
    <row r="49" spans="1:78" s="125" customFormat="1" ht="12.75" customHeight="1" x14ac:dyDescent="0.2">
      <c r="A49" s="529"/>
      <c r="B49" s="530" t="str">
        <f>IF(Stammblatt!$L$4=1,'Kalkulation Herstellungskosten'!AP49,'Kalkulation Herstellungskosten'!AQ49)</f>
        <v xml:space="preserve">Wochenpauschale (§ 7 KV) </v>
      </c>
      <c r="C49" s="118">
        <v>0</v>
      </c>
      <c r="D49" s="545"/>
      <c r="E49" s="119"/>
      <c r="F49" s="548">
        <f t="shared" si="25"/>
        <v>0</v>
      </c>
      <c r="G49" s="1160"/>
      <c r="H49" s="120">
        <f>IF(Stammblatt!$I$9=TRUE,Kollektivvertrag!$E$59,Kollektivvertrag!E24)</f>
        <v>1367.8211768419985</v>
      </c>
      <c r="I49" s="1164"/>
      <c r="J49" s="554"/>
      <c r="K49" s="555"/>
      <c r="L49" s="492"/>
      <c r="M49" s="492"/>
      <c r="N49" s="445"/>
      <c r="O49" s="1156"/>
      <c r="P49" s="1162"/>
      <c r="Q49" s="1170"/>
      <c r="R49" s="1156"/>
      <c r="S49" s="751"/>
      <c r="T49" s="1156"/>
      <c r="U49" s="1156"/>
      <c r="V49" s="1158"/>
      <c r="W49" s="1158"/>
      <c r="X49" s="1156"/>
      <c r="Y49" s="1162"/>
      <c r="Z49" s="1170"/>
      <c r="AA49" s="1156"/>
      <c r="AB49" s="391"/>
      <c r="AC49" s="447"/>
      <c r="AD49" s="1154"/>
      <c r="AE49" s="1154"/>
      <c r="AF49" s="1152"/>
      <c r="AG49" s="1160"/>
      <c r="AH49" s="414"/>
      <c r="AI49" s="558">
        <f>IF(AJ49=TRUE,H49*0.8,H49)</f>
        <v>1367.8211768419985</v>
      </c>
      <c r="AJ49" s="414" t="b">
        <v>0</v>
      </c>
      <c r="AK49" s="416">
        <f t="shared" si="18"/>
        <v>1641.3854122103983</v>
      </c>
      <c r="AL49" s="416">
        <f t="shared" si="19"/>
        <v>1778.1675298945981</v>
      </c>
      <c r="AM49" s="416"/>
      <c r="AN49" s="416"/>
      <c r="AO49" s="419"/>
      <c r="AP49" s="258" t="s">
        <v>45</v>
      </c>
      <c r="AQ49" s="258" t="s">
        <v>351</v>
      </c>
      <c r="AR49" s="417"/>
      <c r="AS49" s="281"/>
      <c r="AT49" s="281"/>
      <c r="AU49" s="417"/>
      <c r="AV49" s="417"/>
      <c r="AW49" s="420"/>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row>
    <row r="50" spans="1:78" s="125" customFormat="1" ht="12.75" customHeight="1" x14ac:dyDescent="0.2">
      <c r="A50" s="531">
        <v>24</v>
      </c>
      <c r="B50" s="528" t="str">
        <f>IF(Stammblatt!$L$4=1,'Kalkulation Herstellungskosten'!AP50,'Kalkulation Herstellungskosten'!AQ50)</f>
        <v>Kamera</v>
      </c>
      <c r="C50" s="123">
        <v>0</v>
      </c>
      <c r="D50" s="544"/>
      <c r="E50" s="128"/>
      <c r="F50" s="547">
        <f t="shared" si="25"/>
        <v>0</v>
      </c>
      <c r="G50" s="1159">
        <f>C50*E50+C51*E51</f>
        <v>0</v>
      </c>
      <c r="H50" s="124">
        <f ca="1">IF(AND(Stammblatt!$I$9=TRUE,GHSTK&lt;=1220000),Kollektivvertrag!$C$59,IF(AND(Stammblatt!$I$9=TRUE,GHSTK&lt;=1570000),AM50/2,AM50))</f>
        <v>2479.5580767428728</v>
      </c>
      <c r="I50" s="1163"/>
      <c r="J50" s="817"/>
      <c r="K50" s="817"/>
      <c r="L50" s="815">
        <f>G50*J50</f>
        <v>0</v>
      </c>
      <c r="M50" s="816">
        <f>G50*K50</f>
        <v>0</v>
      </c>
      <c r="N50" s="820" t="str">
        <f t="shared" ref="N50" si="27">IF((L50+M50)&gt;G50,"?","")</f>
        <v/>
      </c>
      <c r="O50" s="1155"/>
      <c r="P50" s="1161"/>
      <c r="Q50" s="1169"/>
      <c r="R50" s="1155"/>
      <c r="S50" s="751"/>
      <c r="T50" s="1155"/>
      <c r="U50" s="1155"/>
      <c r="V50" s="1157">
        <f>SUM(T50:U51)</f>
        <v>0</v>
      </c>
      <c r="W50" s="1157">
        <f>G50-V50</f>
        <v>0</v>
      </c>
      <c r="X50" s="1155"/>
      <c r="Y50" s="1161"/>
      <c r="Z50" s="1169"/>
      <c r="AA50" s="1155"/>
      <c r="AB50" s="391"/>
      <c r="AC50" s="447"/>
      <c r="AD50" s="1153"/>
      <c r="AE50" s="1153"/>
      <c r="AF50" s="1151"/>
      <c r="AG50" s="1159">
        <f>SUM(G50,AD50:AF51)</f>
        <v>0</v>
      </c>
      <c r="AH50" s="414"/>
      <c r="AI50" s="558">
        <f ca="1">IF(AJ51=TRUE,H50*0.8,H50)</f>
        <v>2479.5580767428728</v>
      </c>
      <c r="AJ50" s="414"/>
      <c r="AK50" s="416">
        <f t="shared" ca="1" si="18"/>
        <v>2975.4696920914471</v>
      </c>
      <c r="AL50" s="416">
        <f t="shared" ca="1" si="19"/>
        <v>3223.4254997657349</v>
      </c>
      <c r="AM50" s="416">
        <f>IF(AND(Stammblatt!$I$7=TRUE,Stammblatt!$I$8=FALSE),Kollektivvertrag!C26,Kollektivvertrag!C27)</f>
        <v>2479.5580767428728</v>
      </c>
      <c r="AN50" s="416"/>
      <c r="AO50" s="416"/>
      <c r="AP50" s="258" t="s">
        <v>204</v>
      </c>
      <c r="AQ50" s="258" t="s">
        <v>353</v>
      </c>
      <c r="AR50" s="417"/>
      <c r="AS50" s="281"/>
      <c r="AT50" s="281"/>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row>
    <row r="51" spans="1:78" s="125" customFormat="1" ht="12.75" customHeight="1" x14ac:dyDescent="0.2">
      <c r="A51" s="529"/>
      <c r="B51" s="530" t="str">
        <f>IF(Stammblatt!$L$4=1,'Kalkulation Herstellungskosten'!AP51,'Kalkulation Herstellungskosten'!AQ51)</f>
        <v xml:space="preserve">Wochenpauschale (§ 7 KV) </v>
      </c>
      <c r="C51" s="118">
        <v>0</v>
      </c>
      <c r="D51" s="545"/>
      <c r="E51" s="119"/>
      <c r="F51" s="548">
        <f t="shared" si="25"/>
        <v>0</v>
      </c>
      <c r="G51" s="1160"/>
      <c r="H51" s="120">
        <f ca="1">IF(AND(Stammblatt!$I$9=TRUE,GHSTK&lt;=1220000),Kollektivvertrag!$E$59,IF(AND(Stammblatt!$I$9=TRUE,GHSTK&lt;=1570000),AM51/2,AM51))</f>
        <v>3434.187936288879</v>
      </c>
      <c r="I51" s="1164"/>
      <c r="J51" s="554"/>
      <c r="K51" s="555"/>
      <c r="L51" s="492"/>
      <c r="M51" s="492"/>
      <c r="N51" s="445"/>
      <c r="O51" s="1156"/>
      <c r="P51" s="1162"/>
      <c r="Q51" s="1170"/>
      <c r="R51" s="1156"/>
      <c r="S51" s="751"/>
      <c r="T51" s="1156"/>
      <c r="U51" s="1156"/>
      <c r="V51" s="1158"/>
      <c r="W51" s="1158"/>
      <c r="X51" s="1156"/>
      <c r="Y51" s="1162"/>
      <c r="Z51" s="1170"/>
      <c r="AA51" s="1156"/>
      <c r="AB51" s="391"/>
      <c r="AC51" s="447"/>
      <c r="AD51" s="1154"/>
      <c r="AE51" s="1154"/>
      <c r="AF51" s="1152"/>
      <c r="AG51" s="1160"/>
      <c r="AH51" s="414"/>
      <c r="AI51" s="558">
        <f ca="1">IF(AJ51=TRUE,H51*0.8,H51)</f>
        <v>3434.187936288879</v>
      </c>
      <c r="AJ51" s="414" t="b">
        <v>0</v>
      </c>
      <c r="AK51" s="416">
        <f t="shared" ca="1" si="18"/>
        <v>4121.0255235466548</v>
      </c>
      <c r="AL51" s="416">
        <f t="shared" ca="1" si="19"/>
        <v>4464.4443171755429</v>
      </c>
      <c r="AM51" s="416">
        <f>IF(AND(Stammblatt!$I$7=TRUE,Stammblatt!$I$8=FALSE),Kollektivvertrag!E26,Kollektivvertrag!E27)</f>
        <v>3434.187936288879</v>
      </c>
      <c r="AN51" s="416"/>
      <c r="AO51" s="419"/>
      <c r="AP51" s="258" t="s">
        <v>45</v>
      </c>
      <c r="AQ51" s="258" t="s">
        <v>351</v>
      </c>
      <c r="AR51" s="417"/>
      <c r="AS51" s="281"/>
      <c r="AT51" s="281"/>
      <c r="AU51" s="417"/>
      <c r="AV51" s="417"/>
      <c r="AW51" s="420"/>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row>
    <row r="52" spans="1:78" s="125" customFormat="1" ht="12.75" customHeight="1" x14ac:dyDescent="0.2">
      <c r="A52" s="531">
        <v>25</v>
      </c>
      <c r="B52" s="528" t="str">
        <f>IF(Stammblatt!$L$4=1,'Kalkulation Herstellungskosten'!AP52,'Kalkulation Herstellungskosten'!AQ52)</f>
        <v>1. Kameraassistenz</v>
      </c>
      <c r="C52" s="123">
        <v>0</v>
      </c>
      <c r="D52" s="544"/>
      <c r="E52" s="128"/>
      <c r="F52" s="547">
        <f t="shared" si="25"/>
        <v>0</v>
      </c>
      <c r="G52" s="1159">
        <f>C52*E52+C53*E53</f>
        <v>0</v>
      </c>
      <c r="H52" s="124">
        <f ca="1">IF(AND(Stammblatt!$I$9=TRUE,GHSTK&lt;=1220000),Kollektivvertrag!$C$59,IF(AND(Stammblatt!$I$9=TRUE,GHSTK&lt;=1570000),Kollektivvertrag!C30/2,Kollektivvertrag!C30))</f>
        <v>1367.1769439549009</v>
      </c>
      <c r="I52" s="1163"/>
      <c r="J52" s="817"/>
      <c r="K52" s="817"/>
      <c r="L52" s="815">
        <f>G52*J52</f>
        <v>0</v>
      </c>
      <c r="M52" s="816">
        <f>G52*K52</f>
        <v>0</v>
      </c>
      <c r="N52" s="820" t="str">
        <f t="shared" ref="N52" si="28">IF((L52+M52)&gt;G52,"?","")</f>
        <v/>
      </c>
      <c r="O52" s="1155"/>
      <c r="P52" s="1161"/>
      <c r="Q52" s="1169"/>
      <c r="R52" s="1155"/>
      <c r="S52" s="751"/>
      <c r="T52" s="1155"/>
      <c r="U52" s="1155"/>
      <c r="V52" s="1157">
        <f>SUM(T52:U53)</f>
        <v>0</v>
      </c>
      <c r="W52" s="1157">
        <f>G52-V52</f>
        <v>0</v>
      </c>
      <c r="X52" s="1155"/>
      <c r="Y52" s="1161"/>
      <c r="Z52" s="1169"/>
      <c r="AA52" s="1155"/>
      <c r="AB52" s="391"/>
      <c r="AC52" s="447"/>
      <c r="AD52" s="1153"/>
      <c r="AE52" s="1153"/>
      <c r="AF52" s="1151"/>
      <c r="AG52" s="1159">
        <f>SUM(G52,AD52:AF53)</f>
        <v>0</v>
      </c>
      <c r="AH52" s="414"/>
      <c r="AI52" s="558">
        <f ca="1">IF(AJ53=TRUE,H52*0.8,H52)</f>
        <v>1367.1769439549009</v>
      </c>
      <c r="AJ52" s="414"/>
      <c r="AK52" s="416">
        <f t="shared" ca="1" si="18"/>
        <v>1640.6123327458811</v>
      </c>
      <c r="AL52" s="416">
        <f t="shared" ca="1" si="19"/>
        <v>1777.3300271413714</v>
      </c>
      <c r="AM52" s="416"/>
      <c r="AN52" s="416"/>
      <c r="AO52" s="416"/>
      <c r="AP52" s="258" t="s">
        <v>630</v>
      </c>
      <c r="AQ52" s="258" t="s">
        <v>489</v>
      </c>
      <c r="AR52" s="417"/>
      <c r="AS52" s="281"/>
      <c r="AT52" s="281"/>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row>
    <row r="53" spans="1:78" s="125" customFormat="1" ht="12.75" customHeight="1" x14ac:dyDescent="0.2">
      <c r="A53" s="529"/>
      <c r="B53" s="530" t="str">
        <f>IF(Stammblatt!$L$4=1,'Kalkulation Herstellungskosten'!AP53,'Kalkulation Herstellungskosten'!AQ53)</f>
        <v xml:space="preserve">Wochenpauschale (§ 7 KV) </v>
      </c>
      <c r="C53" s="118">
        <v>0</v>
      </c>
      <c r="D53" s="545"/>
      <c r="E53" s="119"/>
      <c r="F53" s="548">
        <f t="shared" si="25"/>
        <v>0</v>
      </c>
      <c r="G53" s="1160"/>
      <c r="H53" s="120">
        <f ca="1">IF(AND(Stammblatt!$I$9=TRUE,GHSTK&lt;=1220000),Kollektivvertrag!$E$59,IF(AND(Stammblatt!$I$9=TRUE,GHSTK&lt;=1570000),Kollektivvertrag!E30/2,Kollektivvertrag!E30))</f>
        <v>1893.540067377538</v>
      </c>
      <c r="I53" s="1164"/>
      <c r="J53" s="554"/>
      <c r="K53" s="555"/>
      <c r="L53" s="492"/>
      <c r="M53" s="492"/>
      <c r="N53" s="445"/>
      <c r="O53" s="1156"/>
      <c r="P53" s="1162"/>
      <c r="Q53" s="1170"/>
      <c r="R53" s="1156"/>
      <c r="S53" s="751"/>
      <c r="T53" s="1156"/>
      <c r="U53" s="1156"/>
      <c r="V53" s="1158"/>
      <c r="W53" s="1158"/>
      <c r="X53" s="1156"/>
      <c r="Y53" s="1162"/>
      <c r="Z53" s="1170"/>
      <c r="AA53" s="1156"/>
      <c r="AB53" s="391"/>
      <c r="AC53" s="447"/>
      <c r="AD53" s="1154"/>
      <c r="AE53" s="1154"/>
      <c r="AF53" s="1152"/>
      <c r="AG53" s="1160"/>
      <c r="AH53" s="414"/>
      <c r="AI53" s="558">
        <f ca="1">IF(AJ53=TRUE,H53*0.8,H53)</f>
        <v>1893.540067377538</v>
      </c>
      <c r="AJ53" s="414" t="b">
        <v>0</v>
      </c>
      <c r="AK53" s="416">
        <f t="shared" ca="1" si="18"/>
        <v>2272.2480808530454</v>
      </c>
      <c r="AL53" s="416">
        <f t="shared" ca="1" si="19"/>
        <v>2461.6020875907993</v>
      </c>
      <c r="AM53" s="416"/>
      <c r="AN53" s="416"/>
      <c r="AO53" s="419"/>
      <c r="AP53" s="258" t="s">
        <v>45</v>
      </c>
      <c r="AQ53" s="258" t="s">
        <v>351</v>
      </c>
      <c r="AR53" s="417"/>
      <c r="AS53" s="281"/>
      <c r="AT53" s="281"/>
      <c r="AU53" s="417"/>
      <c r="AV53" s="417"/>
      <c r="AW53" s="420"/>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row>
    <row r="54" spans="1:78" s="125" customFormat="1" ht="12.75" customHeight="1" x14ac:dyDescent="0.2">
      <c r="A54" s="531">
        <v>26</v>
      </c>
      <c r="B54" s="528" t="str">
        <f>IF(Stammblatt!$L$4=1,'Kalkulation Herstellungskosten'!AP54,'Kalkulation Herstellungskosten'!AQ54)</f>
        <v>2. Kameraassistenz</v>
      </c>
      <c r="C54" s="123">
        <v>0</v>
      </c>
      <c r="D54" s="544"/>
      <c r="E54" s="128"/>
      <c r="F54" s="547">
        <f t="shared" si="25"/>
        <v>0</v>
      </c>
      <c r="G54" s="1159">
        <f>C54*E54+C55*E55</f>
        <v>0</v>
      </c>
      <c r="H54" s="124">
        <f>IF(Stammblatt!$I$9=TRUE,Kollektivvertrag!$C$59,Kollektivvertrag!C31)</f>
        <v>1041.0411461942435</v>
      </c>
      <c r="I54" s="1163"/>
      <c r="J54" s="817"/>
      <c r="K54" s="817"/>
      <c r="L54" s="815">
        <f>G54*J54</f>
        <v>0</v>
      </c>
      <c r="M54" s="816">
        <f>G54*K54</f>
        <v>0</v>
      </c>
      <c r="N54" s="820" t="str">
        <f t="shared" ref="N54" si="29">IF((L54+M54)&gt;G54,"?","")</f>
        <v/>
      </c>
      <c r="O54" s="1155"/>
      <c r="P54" s="1161"/>
      <c r="Q54" s="1169"/>
      <c r="R54" s="1155"/>
      <c r="S54" s="751"/>
      <c r="T54" s="1155"/>
      <c r="U54" s="1155"/>
      <c r="V54" s="1157">
        <f>SUM(T54:U55)</f>
        <v>0</v>
      </c>
      <c r="W54" s="1157">
        <f>G54-V54</f>
        <v>0</v>
      </c>
      <c r="X54" s="1155"/>
      <c r="Y54" s="1161"/>
      <c r="Z54" s="1169"/>
      <c r="AA54" s="1155"/>
      <c r="AB54" s="391"/>
      <c r="AC54" s="447"/>
      <c r="AD54" s="1153"/>
      <c r="AE54" s="1153"/>
      <c r="AF54" s="1151"/>
      <c r="AG54" s="1159">
        <f>SUM(G54,AD54:AF55)</f>
        <v>0</v>
      </c>
      <c r="AH54" s="414"/>
      <c r="AI54" s="558">
        <f>IF(AJ55=TRUE,H54*0.8,H54)</f>
        <v>1041.0411461942435</v>
      </c>
      <c r="AJ54" s="414"/>
      <c r="AK54" s="416">
        <f t="shared" si="18"/>
        <v>1249.2493754330922</v>
      </c>
      <c r="AL54" s="416">
        <f t="shared" si="19"/>
        <v>1353.3534900525167</v>
      </c>
      <c r="AM54" s="416"/>
      <c r="AN54" s="416"/>
      <c r="AO54" s="416"/>
      <c r="AP54" s="258" t="s">
        <v>631</v>
      </c>
      <c r="AQ54" s="258" t="s">
        <v>490</v>
      </c>
      <c r="AR54" s="417"/>
      <c r="AS54" s="281"/>
      <c r="AT54" s="281"/>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row>
    <row r="55" spans="1:78" s="125" customFormat="1" ht="12.75" customHeight="1" x14ac:dyDescent="0.2">
      <c r="A55" s="529"/>
      <c r="B55" s="530" t="str">
        <f>IF(Stammblatt!$L$4=1,'Kalkulation Herstellungskosten'!AP55,'Kalkulation Herstellungskosten'!AQ55)</f>
        <v xml:space="preserve">Wochenpauschale (§ 7 KV) </v>
      </c>
      <c r="C55" s="118">
        <v>0</v>
      </c>
      <c r="D55" s="545"/>
      <c r="E55" s="119"/>
      <c r="F55" s="548">
        <f t="shared" si="25"/>
        <v>0</v>
      </c>
      <c r="G55" s="1160"/>
      <c r="H55" s="120">
        <f>IF(Stammblatt!$I$9=TRUE,Kollektivvertrag!$E$59,Kollektivvertrag!E31)</f>
        <v>1441.8419874790275</v>
      </c>
      <c r="I55" s="1164"/>
      <c r="J55" s="554"/>
      <c r="K55" s="555"/>
      <c r="L55" s="492"/>
      <c r="M55" s="492"/>
      <c r="N55" s="445"/>
      <c r="O55" s="1156"/>
      <c r="P55" s="1162"/>
      <c r="Q55" s="1170"/>
      <c r="R55" s="1156"/>
      <c r="S55" s="751"/>
      <c r="T55" s="1156"/>
      <c r="U55" s="1156"/>
      <c r="V55" s="1158"/>
      <c r="W55" s="1158"/>
      <c r="X55" s="1156"/>
      <c r="Y55" s="1162"/>
      <c r="Z55" s="1170"/>
      <c r="AA55" s="1156"/>
      <c r="AB55" s="391"/>
      <c r="AC55" s="447"/>
      <c r="AD55" s="1154"/>
      <c r="AE55" s="1154"/>
      <c r="AF55" s="1152"/>
      <c r="AG55" s="1160"/>
      <c r="AH55" s="414"/>
      <c r="AI55" s="558">
        <f>IF(AJ55=TRUE,H55*0.8,H55)</f>
        <v>1441.8419874790275</v>
      </c>
      <c r="AJ55" s="414" t="b">
        <v>0</v>
      </c>
      <c r="AK55" s="416">
        <f t="shared" si="18"/>
        <v>1730.210384974833</v>
      </c>
      <c r="AL55" s="416">
        <f t="shared" si="19"/>
        <v>1874.3945837227357</v>
      </c>
      <c r="AM55" s="416"/>
      <c r="AN55" s="416"/>
      <c r="AO55" s="419"/>
      <c r="AP55" s="258" t="s">
        <v>45</v>
      </c>
      <c r="AQ55" s="258" t="s">
        <v>351</v>
      </c>
      <c r="AR55" s="417"/>
      <c r="AS55" s="281"/>
      <c r="AT55" s="281"/>
      <c r="AU55" s="417"/>
      <c r="AV55" s="417"/>
      <c r="AW55" s="420"/>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row>
    <row r="56" spans="1:78" s="125" customFormat="1" ht="12.75" customHeight="1" x14ac:dyDescent="0.2">
      <c r="A56" s="531">
        <v>27</v>
      </c>
      <c r="B56" s="528" t="str">
        <f>IF(Stammblatt!$L$4=1,'Kalkulation Herstellungskosten'!AP56,'Kalkulation Herstellungskosten'!AQ56)</f>
        <v>Kamera im Verbund, Schwenker*in</v>
      </c>
      <c r="C56" s="123">
        <v>0</v>
      </c>
      <c r="D56" s="544"/>
      <c r="E56" s="128"/>
      <c r="F56" s="547">
        <f t="shared" si="25"/>
        <v>0</v>
      </c>
      <c r="G56" s="1159">
        <f>C56*E56+C57*E57</f>
        <v>0</v>
      </c>
      <c r="H56" s="124">
        <f ca="1">IF(AND(Stammblatt!$I$9=TRUE,GHSTK&lt;=1220000),Kollektivvertrag!$C$59,IF(AND(Stammblatt!$I$9=TRUE,GHSTK&lt;=1570000),Kollektivvertrag!C29/2,Kollektivvertrag!C29))</f>
        <v>1400.4537881892441</v>
      </c>
      <c r="I56" s="1163"/>
      <c r="J56" s="817"/>
      <c r="K56" s="817"/>
      <c r="L56" s="815">
        <f>G56*J56</f>
        <v>0</v>
      </c>
      <c r="M56" s="816">
        <f>G56*K56</f>
        <v>0</v>
      </c>
      <c r="N56" s="820" t="str">
        <f t="shared" ref="N56" si="30">IF((L56+M56)&gt;G56,"?","")</f>
        <v/>
      </c>
      <c r="O56" s="1155"/>
      <c r="P56" s="1161"/>
      <c r="Q56" s="1169"/>
      <c r="R56" s="1155"/>
      <c r="S56" s="751"/>
      <c r="T56" s="1155"/>
      <c r="U56" s="1155"/>
      <c r="V56" s="1157">
        <f>SUM(T56:U57)</f>
        <v>0</v>
      </c>
      <c r="W56" s="1157">
        <f>G56-V56</f>
        <v>0</v>
      </c>
      <c r="X56" s="1155"/>
      <c r="Y56" s="1161"/>
      <c r="Z56" s="1169"/>
      <c r="AA56" s="1155"/>
      <c r="AB56" s="391"/>
      <c r="AC56" s="447"/>
      <c r="AD56" s="1153"/>
      <c r="AE56" s="1153"/>
      <c r="AF56" s="1151"/>
      <c r="AG56" s="1159">
        <f>SUM(G56,AD56:AF57)</f>
        <v>0</v>
      </c>
      <c r="AH56" s="414"/>
      <c r="AI56" s="558">
        <f ca="1">IF(AJ57=TRUE,H56*0.8,H56)</f>
        <v>1400.4537881892441</v>
      </c>
      <c r="AJ56" s="414"/>
      <c r="AK56" s="416">
        <f t="shared" ca="1" si="18"/>
        <v>1680.5445458270929</v>
      </c>
      <c r="AL56" s="416">
        <f t="shared" ca="1" si="19"/>
        <v>1820.5899246460174</v>
      </c>
      <c r="AM56" s="416"/>
      <c r="AN56" s="416"/>
      <c r="AO56" s="416"/>
      <c r="AP56" s="258" t="s">
        <v>1052</v>
      </c>
      <c r="AQ56" s="258" t="s">
        <v>328</v>
      </c>
      <c r="AR56" s="417"/>
      <c r="AS56" s="281"/>
      <c r="AT56" s="281"/>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row>
    <row r="57" spans="1:78" s="125" customFormat="1" ht="12.75" customHeight="1" x14ac:dyDescent="0.2">
      <c r="A57" s="534"/>
      <c r="B57" s="530" t="str">
        <f>IF(Stammblatt!$L$4=1,'Kalkulation Herstellungskosten'!AP57,'Kalkulation Herstellungskosten'!AQ57)</f>
        <v xml:space="preserve">Wochenpauschale (§ 7 KV) </v>
      </c>
      <c r="C57" s="118">
        <v>0</v>
      </c>
      <c r="D57" s="545"/>
      <c r="E57" s="119"/>
      <c r="F57" s="548">
        <f t="shared" si="25"/>
        <v>0</v>
      </c>
      <c r="G57" s="1160"/>
      <c r="H57" s="120">
        <f ca="1">IF(AND(Stammblatt!$I$9=TRUE,GHSTK&lt;=1220000),Kollektivvertrag!$E$59,IF(AND(Stammblatt!$I$9=TRUE,GHSTK&lt;=1570000),Kollektivvertrag!E29/2,Kollektivvertrag!E29))</f>
        <v>1939.6284966421031</v>
      </c>
      <c r="I57" s="1164"/>
      <c r="J57" s="554"/>
      <c r="K57" s="555"/>
      <c r="L57" s="492"/>
      <c r="M57" s="492"/>
      <c r="N57" s="445"/>
      <c r="O57" s="1156"/>
      <c r="P57" s="1162"/>
      <c r="Q57" s="1170"/>
      <c r="R57" s="1156"/>
      <c r="S57" s="751"/>
      <c r="T57" s="1156"/>
      <c r="U57" s="1156"/>
      <c r="V57" s="1158"/>
      <c r="W57" s="1158"/>
      <c r="X57" s="1156"/>
      <c r="Y57" s="1162"/>
      <c r="Z57" s="1170"/>
      <c r="AA57" s="1156"/>
      <c r="AB57" s="391"/>
      <c r="AC57" s="447"/>
      <c r="AD57" s="1154"/>
      <c r="AE57" s="1154"/>
      <c r="AF57" s="1152"/>
      <c r="AG57" s="1160"/>
      <c r="AH57" s="414"/>
      <c r="AI57" s="558">
        <f ca="1">IF(AJ57=TRUE,H57*0.8,H57)</f>
        <v>1939.6284966421031</v>
      </c>
      <c r="AJ57" s="414" t="b">
        <v>0</v>
      </c>
      <c r="AK57" s="416">
        <f t="shared" ca="1" si="18"/>
        <v>2327.5541959705238</v>
      </c>
      <c r="AL57" s="416">
        <f t="shared" ca="1" si="19"/>
        <v>2521.5170456347341</v>
      </c>
      <c r="AM57" s="416"/>
      <c r="AN57" s="416"/>
      <c r="AO57" s="419"/>
      <c r="AP57" s="258" t="s">
        <v>45</v>
      </c>
      <c r="AQ57" s="258" t="s">
        <v>351</v>
      </c>
      <c r="AR57" s="417"/>
      <c r="AS57" s="281"/>
      <c r="AT57" s="281"/>
      <c r="AU57" s="417"/>
      <c r="AV57" s="417"/>
      <c r="AW57" s="420"/>
      <c r="AX57" s="417"/>
      <c r="AY57" s="417"/>
      <c r="AZ57" s="417"/>
      <c r="BA57" s="417"/>
      <c r="BB57" s="417"/>
      <c r="BC57" s="417"/>
      <c r="BD57" s="417"/>
      <c r="BE57" s="417"/>
      <c r="BF57" s="417"/>
      <c r="BG57" s="417"/>
      <c r="BH57" s="417"/>
      <c r="BI57" s="417"/>
      <c r="BJ57" s="417"/>
      <c r="BK57" s="417"/>
      <c r="BL57" s="417"/>
      <c r="BM57" s="417"/>
      <c r="BN57" s="417"/>
      <c r="BO57" s="417"/>
      <c r="BP57" s="417"/>
      <c r="BQ57" s="417"/>
      <c r="BR57" s="417"/>
      <c r="BS57" s="417"/>
      <c r="BT57" s="417"/>
      <c r="BU57" s="417"/>
      <c r="BV57" s="417"/>
      <c r="BW57" s="417"/>
      <c r="BX57" s="417"/>
      <c r="BY57" s="417"/>
      <c r="BZ57" s="417"/>
    </row>
    <row r="58" spans="1:78" s="125" customFormat="1" ht="12.75" customHeight="1" x14ac:dyDescent="0.2">
      <c r="A58" s="531">
        <v>28</v>
      </c>
      <c r="B58" s="528" t="str">
        <f>IF(Stammblatt!$L$4=1,'Kalkulation Herstellungskosten'!AP58,'Kalkulation Herstellungskosten'!AQ58)</f>
        <v>Videotechnik</v>
      </c>
      <c r="C58" s="123">
        <v>0</v>
      </c>
      <c r="D58" s="544"/>
      <c r="E58" s="128"/>
      <c r="F58" s="547">
        <f t="shared" si="25"/>
        <v>0</v>
      </c>
      <c r="G58" s="1159">
        <f>C58*E58+C59*E59</f>
        <v>0</v>
      </c>
      <c r="H58" s="124">
        <f>IF(Stammblatt!$I$9=TRUE,Kollektivvertrag!$C$59,Kollektivvertrag!C51)</f>
        <v>1307.8524120014861</v>
      </c>
      <c r="I58" s="1163"/>
      <c r="J58" s="817"/>
      <c r="K58" s="817"/>
      <c r="L58" s="815">
        <f>G58*J58</f>
        <v>0</v>
      </c>
      <c r="M58" s="816">
        <f>G58*K58</f>
        <v>0</v>
      </c>
      <c r="N58" s="820" t="str">
        <f t="shared" ref="N58" si="31">IF((L58+M58)&gt;G58,"?","")</f>
        <v/>
      </c>
      <c r="O58" s="1155"/>
      <c r="P58" s="1161"/>
      <c r="Q58" s="1169"/>
      <c r="R58" s="1155"/>
      <c r="S58" s="751"/>
      <c r="T58" s="1155"/>
      <c r="U58" s="1155"/>
      <c r="V58" s="1157">
        <f>SUM(T58:U59)</f>
        <v>0</v>
      </c>
      <c r="W58" s="1157">
        <f>G58-V58</f>
        <v>0</v>
      </c>
      <c r="X58" s="1155"/>
      <c r="Y58" s="1161"/>
      <c r="Z58" s="1169"/>
      <c r="AA58" s="1155"/>
      <c r="AB58" s="391"/>
      <c r="AC58" s="447"/>
      <c r="AD58" s="1153"/>
      <c r="AE58" s="1153"/>
      <c r="AF58" s="1151"/>
      <c r="AG58" s="1159">
        <f>SUM(G58,AD58:AF59)</f>
        <v>0</v>
      </c>
      <c r="AH58" s="414"/>
      <c r="AI58" s="558">
        <f>IF(AJ59=TRUE,H58*0.8,H58)</f>
        <v>1307.8524120014861</v>
      </c>
      <c r="AJ58" s="414"/>
      <c r="AK58" s="416">
        <f t="shared" si="18"/>
        <v>1569.4228944017832</v>
      </c>
      <c r="AL58" s="416">
        <f t="shared" si="19"/>
        <v>1700.2081356019319</v>
      </c>
      <c r="AM58" s="416"/>
      <c r="AN58" s="416"/>
      <c r="AO58" s="416"/>
      <c r="AP58" s="258" t="s">
        <v>632</v>
      </c>
      <c r="AQ58" s="258" t="s">
        <v>329</v>
      </c>
      <c r="AR58" s="417"/>
      <c r="AS58" s="281"/>
      <c r="AT58" s="281"/>
      <c r="AU58" s="417"/>
      <c r="AV58" s="417"/>
      <c r="AW58" s="417"/>
      <c r="AX58" s="417"/>
      <c r="AY58" s="417"/>
      <c r="AZ58" s="417"/>
      <c r="BA58" s="417"/>
      <c r="BB58" s="417"/>
      <c r="BC58" s="417"/>
      <c r="BD58" s="417"/>
      <c r="BE58" s="417"/>
      <c r="BF58" s="417"/>
      <c r="BG58" s="417"/>
      <c r="BH58" s="417"/>
      <c r="BI58" s="417"/>
      <c r="BJ58" s="417"/>
      <c r="BK58" s="417"/>
      <c r="BL58" s="417"/>
      <c r="BM58" s="417"/>
      <c r="BN58" s="417"/>
      <c r="BO58" s="417"/>
      <c r="BP58" s="417"/>
      <c r="BQ58" s="417"/>
      <c r="BR58" s="417"/>
      <c r="BS58" s="417"/>
      <c r="BT58" s="417"/>
      <c r="BU58" s="417"/>
      <c r="BV58" s="417"/>
      <c r="BW58" s="417"/>
      <c r="BX58" s="417"/>
      <c r="BY58" s="417"/>
      <c r="BZ58" s="417"/>
    </row>
    <row r="59" spans="1:78" s="125" customFormat="1" ht="12.75" customHeight="1" x14ac:dyDescent="0.2">
      <c r="A59" s="529"/>
      <c r="B59" s="530" t="str">
        <f>IF(Stammblatt!$L$4=1,'Kalkulation Herstellungskosten'!AP59,'Kalkulation Herstellungskosten'!AQ59)</f>
        <v xml:space="preserve">Wochenpauschale (§ 7 KV) </v>
      </c>
      <c r="C59" s="118">
        <v>0</v>
      </c>
      <c r="D59" s="545"/>
      <c r="E59" s="119"/>
      <c r="F59" s="548">
        <f t="shared" si="25"/>
        <v>0</v>
      </c>
      <c r="G59" s="1160"/>
      <c r="H59" s="120">
        <f>IF(Stammblatt!$I$9=TRUE,Kollektivvertrag!$E$59,Kollektivvertrag!E51)</f>
        <v>1811.3755906220581</v>
      </c>
      <c r="I59" s="1164"/>
      <c r="J59" s="554"/>
      <c r="K59" s="555"/>
      <c r="L59" s="492"/>
      <c r="M59" s="492"/>
      <c r="N59" s="445"/>
      <c r="O59" s="1156"/>
      <c r="P59" s="1162"/>
      <c r="Q59" s="1170"/>
      <c r="R59" s="1156"/>
      <c r="S59" s="751"/>
      <c r="T59" s="1156"/>
      <c r="U59" s="1156"/>
      <c r="V59" s="1158"/>
      <c r="W59" s="1158"/>
      <c r="X59" s="1156"/>
      <c r="Y59" s="1162"/>
      <c r="Z59" s="1170"/>
      <c r="AA59" s="1156"/>
      <c r="AB59" s="391"/>
      <c r="AC59" s="447"/>
      <c r="AD59" s="1154"/>
      <c r="AE59" s="1154"/>
      <c r="AF59" s="1152"/>
      <c r="AG59" s="1160"/>
      <c r="AH59" s="414"/>
      <c r="AI59" s="558">
        <f>IF(AJ59=TRUE,H59*0.8,H59)</f>
        <v>1811.3755906220581</v>
      </c>
      <c r="AJ59" s="414" t="b">
        <v>0</v>
      </c>
      <c r="AK59" s="416">
        <f t="shared" si="18"/>
        <v>2173.6507087464697</v>
      </c>
      <c r="AL59" s="416">
        <f t="shared" si="19"/>
        <v>2354.7882678086758</v>
      </c>
      <c r="AM59" s="416"/>
      <c r="AN59" s="416"/>
      <c r="AO59" s="419"/>
      <c r="AP59" s="258" t="s">
        <v>45</v>
      </c>
      <c r="AQ59" s="258" t="s">
        <v>351</v>
      </c>
      <c r="AR59" s="417"/>
      <c r="AS59" s="281"/>
      <c r="AT59" s="281"/>
      <c r="AU59" s="417"/>
      <c r="AV59" s="417"/>
      <c r="AW59" s="420"/>
      <c r="AX59" s="417"/>
      <c r="AY59" s="417"/>
      <c r="AZ59" s="417"/>
      <c r="BA59" s="417"/>
      <c r="BB59" s="417"/>
      <c r="BC59" s="417"/>
      <c r="BD59" s="417"/>
      <c r="BE59" s="417"/>
      <c r="BF59" s="417"/>
      <c r="BG59" s="417"/>
      <c r="BH59" s="417"/>
      <c r="BI59" s="417"/>
      <c r="BJ59" s="417"/>
      <c r="BK59" s="417"/>
      <c r="BL59" s="417"/>
      <c r="BM59" s="417"/>
      <c r="BN59" s="417"/>
      <c r="BO59" s="417"/>
      <c r="BP59" s="417"/>
      <c r="BQ59" s="417"/>
      <c r="BR59" s="417"/>
      <c r="BS59" s="417"/>
      <c r="BT59" s="417"/>
      <c r="BU59" s="417"/>
      <c r="BV59" s="417"/>
      <c r="BW59" s="417"/>
      <c r="BX59" s="417"/>
      <c r="BY59" s="417"/>
      <c r="BZ59" s="417"/>
    </row>
    <row r="60" spans="1:78" s="125" customFormat="1" ht="12.75" customHeight="1" x14ac:dyDescent="0.2">
      <c r="A60" s="531">
        <v>29</v>
      </c>
      <c r="B60" s="528" t="s">
        <v>802</v>
      </c>
      <c r="C60" s="123">
        <v>0</v>
      </c>
      <c r="D60" s="544"/>
      <c r="E60" s="128"/>
      <c r="F60" s="547">
        <f t="shared" si="25"/>
        <v>0</v>
      </c>
      <c r="G60" s="1159">
        <f>C60*E60+C61*E61</f>
        <v>0</v>
      </c>
      <c r="H60" s="124">
        <f>IF(Stammblatt!$I$9=TRUE,Kollektivvertrag!$C$59,Kollektivvertrag!C36)</f>
        <v>1220.2361712496029</v>
      </c>
      <c r="I60" s="1163"/>
      <c r="J60" s="817"/>
      <c r="K60" s="817"/>
      <c r="L60" s="815">
        <f>G60*J60</f>
        <v>0</v>
      </c>
      <c r="M60" s="816">
        <f>G60*K60</f>
        <v>0</v>
      </c>
      <c r="N60" s="820" t="str">
        <f t="shared" ref="N60" si="32">IF((L60+M60)&gt;G60,"?","")</f>
        <v/>
      </c>
      <c r="O60" s="1155"/>
      <c r="P60" s="1161"/>
      <c r="Q60" s="1169"/>
      <c r="R60" s="1155"/>
      <c r="S60" s="751"/>
      <c r="T60" s="1155"/>
      <c r="U60" s="1155"/>
      <c r="V60" s="1157">
        <f>SUM(T60:U61)</f>
        <v>0</v>
      </c>
      <c r="W60" s="1157">
        <f>G60-V60</f>
        <v>0</v>
      </c>
      <c r="X60" s="1155"/>
      <c r="Y60" s="1161"/>
      <c r="Z60" s="1169"/>
      <c r="AA60" s="1155"/>
      <c r="AB60" s="391"/>
      <c r="AC60" s="447"/>
      <c r="AD60" s="1153"/>
      <c r="AE60" s="1153"/>
      <c r="AF60" s="1151"/>
      <c r="AG60" s="1159">
        <f>SUM(G60,AD60:AF61)</f>
        <v>0</v>
      </c>
      <c r="AH60" s="414"/>
      <c r="AI60" s="558">
        <f>IF(AJ61=TRUE,H60*0.8,H60)</f>
        <v>1220.2361712496029</v>
      </c>
      <c r="AJ60" s="414"/>
      <c r="AK60" s="416">
        <f t="shared" si="18"/>
        <v>1464.2834054995235</v>
      </c>
      <c r="AL60" s="416">
        <f t="shared" si="19"/>
        <v>1586.3070226244838</v>
      </c>
      <c r="AM60" s="416"/>
      <c r="AN60" s="416"/>
      <c r="AO60" s="416"/>
      <c r="AP60" s="258"/>
      <c r="AQ60" s="258"/>
      <c r="AR60" s="417"/>
      <c r="AS60" s="281"/>
      <c r="AT60" s="281"/>
      <c r="AU60" s="417"/>
      <c r="AV60" s="417"/>
      <c r="AW60" s="417"/>
      <c r="AX60" s="417"/>
      <c r="AY60" s="417"/>
      <c r="AZ60" s="417"/>
      <c r="BA60" s="417"/>
      <c r="BB60" s="417"/>
      <c r="BC60" s="417"/>
      <c r="BD60" s="417"/>
      <c r="BE60" s="417"/>
      <c r="BF60" s="417"/>
      <c r="BG60" s="417"/>
      <c r="BH60" s="417"/>
      <c r="BI60" s="417"/>
      <c r="BJ60" s="417"/>
      <c r="BK60" s="417"/>
      <c r="BL60" s="417"/>
      <c r="BM60" s="417"/>
      <c r="BN60" s="417"/>
      <c r="BO60" s="417"/>
      <c r="BP60" s="417"/>
      <c r="BQ60" s="417"/>
      <c r="BR60" s="417"/>
      <c r="BS60" s="417"/>
      <c r="BT60" s="417"/>
      <c r="BU60" s="417"/>
      <c r="BV60" s="417"/>
      <c r="BW60" s="417"/>
      <c r="BX60" s="417"/>
      <c r="BY60" s="417"/>
      <c r="BZ60" s="417"/>
    </row>
    <row r="61" spans="1:78" s="125" customFormat="1" ht="12.75" customHeight="1" x14ac:dyDescent="0.2">
      <c r="A61" s="529"/>
      <c r="B61" s="530" t="s">
        <v>45</v>
      </c>
      <c r="C61" s="118">
        <v>0</v>
      </c>
      <c r="D61" s="545"/>
      <c r="E61" s="119"/>
      <c r="F61" s="548">
        <f t="shared" si="25"/>
        <v>0</v>
      </c>
      <c r="G61" s="1160"/>
      <c r="H61" s="120">
        <f>IF(Stammblatt!$I$9=TRUE,Kollektivvertrag!$E$59,Kollektivvertrag!E36)</f>
        <v>1690.0270971806999</v>
      </c>
      <c r="I61" s="1164"/>
      <c r="J61" s="554"/>
      <c r="K61" s="555"/>
      <c r="L61" s="492"/>
      <c r="M61" s="492"/>
      <c r="N61" s="445"/>
      <c r="O61" s="1156"/>
      <c r="P61" s="1162"/>
      <c r="Q61" s="1170"/>
      <c r="R61" s="1156"/>
      <c r="S61" s="751"/>
      <c r="T61" s="1156"/>
      <c r="U61" s="1156"/>
      <c r="V61" s="1158"/>
      <c r="W61" s="1158"/>
      <c r="X61" s="1156"/>
      <c r="Y61" s="1162"/>
      <c r="Z61" s="1170"/>
      <c r="AA61" s="1156"/>
      <c r="AB61" s="391"/>
      <c r="AC61" s="447"/>
      <c r="AD61" s="1154"/>
      <c r="AE61" s="1154"/>
      <c r="AF61" s="1152"/>
      <c r="AG61" s="1160"/>
      <c r="AH61" s="414"/>
      <c r="AI61" s="558">
        <f>IF(AJ61=TRUE,H61*0.8,H61)</f>
        <v>1690.0270971806999</v>
      </c>
      <c r="AJ61" s="414" t="b">
        <v>0</v>
      </c>
      <c r="AK61" s="416">
        <f t="shared" si="18"/>
        <v>2028.0325166168398</v>
      </c>
      <c r="AL61" s="416">
        <f t="shared" si="19"/>
        <v>2197.03522633491</v>
      </c>
      <c r="AM61" s="416"/>
      <c r="AN61" s="416"/>
      <c r="AO61" s="419"/>
      <c r="AP61" s="258"/>
      <c r="AQ61" s="258"/>
      <c r="AR61" s="417"/>
      <c r="AS61" s="281"/>
      <c r="AT61" s="281"/>
      <c r="AU61" s="417"/>
      <c r="AV61" s="417"/>
      <c r="AW61" s="420"/>
      <c r="AX61" s="417"/>
      <c r="AY61" s="417"/>
      <c r="AZ61" s="417"/>
      <c r="BA61" s="417"/>
      <c r="BB61" s="417"/>
      <c r="BC61" s="417"/>
      <c r="BD61" s="417"/>
      <c r="BE61" s="417"/>
      <c r="BF61" s="417"/>
      <c r="BG61" s="417"/>
      <c r="BH61" s="417"/>
      <c r="BI61" s="417"/>
      <c r="BJ61" s="417"/>
      <c r="BK61" s="417"/>
      <c r="BL61" s="417"/>
      <c r="BM61" s="417"/>
      <c r="BN61" s="417"/>
      <c r="BO61" s="417"/>
      <c r="BP61" s="417"/>
      <c r="BQ61" s="417"/>
      <c r="BR61" s="417"/>
      <c r="BS61" s="417"/>
      <c r="BT61" s="417"/>
      <c r="BU61" s="417"/>
      <c r="BV61" s="417"/>
      <c r="BW61" s="417"/>
      <c r="BX61" s="417"/>
      <c r="BY61" s="417"/>
      <c r="BZ61" s="417"/>
    </row>
    <row r="62" spans="1:78" s="125" customFormat="1" ht="12.75" customHeight="1" x14ac:dyDescent="0.2">
      <c r="A62" s="531">
        <v>30</v>
      </c>
      <c r="B62" s="528" t="s">
        <v>612</v>
      </c>
      <c r="C62" s="123">
        <v>0</v>
      </c>
      <c r="D62" s="544"/>
      <c r="E62" s="128"/>
      <c r="F62" s="547">
        <f t="shared" si="25"/>
        <v>0</v>
      </c>
      <c r="G62" s="1159">
        <f>C62*E62+C63*E63</f>
        <v>0</v>
      </c>
      <c r="H62" s="124">
        <f>IF(Stammblatt!$I$9=TRUE,Kollektivvertrag!$C$59,Kollektivvertrag!C37)</f>
        <v>854.16247934170997</v>
      </c>
      <c r="I62" s="1163"/>
      <c r="J62" s="817"/>
      <c r="K62" s="817"/>
      <c r="L62" s="815">
        <f>G62*J62</f>
        <v>0</v>
      </c>
      <c r="M62" s="816">
        <f>G62*K62</f>
        <v>0</v>
      </c>
      <c r="N62" s="820" t="str">
        <f t="shared" ref="N62" si="33">IF((L62+M62)&gt;G62,"?","")</f>
        <v/>
      </c>
      <c r="O62" s="1155"/>
      <c r="P62" s="1161"/>
      <c r="Q62" s="1169"/>
      <c r="R62" s="1155"/>
      <c r="S62" s="751"/>
      <c r="T62" s="1155"/>
      <c r="U62" s="1155"/>
      <c r="V62" s="1157">
        <f>SUM(T62:U63)</f>
        <v>0</v>
      </c>
      <c r="W62" s="1157">
        <f>G62-V62</f>
        <v>0</v>
      </c>
      <c r="X62" s="1155"/>
      <c r="Y62" s="1161"/>
      <c r="Z62" s="1169"/>
      <c r="AA62" s="1155"/>
      <c r="AB62" s="391"/>
      <c r="AC62" s="447"/>
      <c r="AD62" s="1153"/>
      <c r="AE62" s="1153"/>
      <c r="AF62" s="1151"/>
      <c r="AG62" s="1159">
        <f>SUM(G62,AD62:AF63)</f>
        <v>0</v>
      </c>
      <c r="AH62" s="414"/>
      <c r="AI62" s="558">
        <f>IF(AJ63=TRUE,H62*0.8,H62)</f>
        <v>854.16247934170997</v>
      </c>
      <c r="AJ62" s="414"/>
      <c r="AK62" s="416">
        <f t="shared" si="18"/>
        <v>1024.994975210052</v>
      </c>
      <c r="AL62" s="416">
        <f t="shared" si="19"/>
        <v>1110.411223144223</v>
      </c>
      <c r="AM62" s="416"/>
      <c r="AN62" s="416"/>
      <c r="AO62" s="416"/>
      <c r="AP62" s="258"/>
      <c r="AQ62" s="258"/>
      <c r="AR62" s="417"/>
      <c r="AS62" s="281"/>
      <c r="AT62" s="281"/>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row>
    <row r="63" spans="1:78" s="125" customFormat="1" ht="12.75" customHeight="1" x14ac:dyDescent="0.2">
      <c r="A63" s="529"/>
      <c r="B63" s="530" t="s">
        <v>45</v>
      </c>
      <c r="C63" s="118">
        <v>0</v>
      </c>
      <c r="D63" s="545"/>
      <c r="E63" s="119"/>
      <c r="F63" s="548">
        <f t="shared" si="25"/>
        <v>0</v>
      </c>
      <c r="G63" s="1160"/>
      <c r="H63" s="120">
        <f>IF(Stammblatt!$I$9=TRUE,Kollektivvertrag!$E$59,Kollektivvertrag!E37)</f>
        <v>1183.0150338882681</v>
      </c>
      <c r="I63" s="1164"/>
      <c r="J63" s="554"/>
      <c r="K63" s="555"/>
      <c r="L63" s="492"/>
      <c r="M63" s="492"/>
      <c r="N63" s="445"/>
      <c r="O63" s="1156"/>
      <c r="P63" s="1162"/>
      <c r="Q63" s="1170"/>
      <c r="R63" s="1156"/>
      <c r="S63" s="751"/>
      <c r="T63" s="1156"/>
      <c r="U63" s="1156"/>
      <c r="V63" s="1158"/>
      <c r="W63" s="1158"/>
      <c r="X63" s="1156"/>
      <c r="Y63" s="1162"/>
      <c r="Z63" s="1170"/>
      <c r="AA63" s="1156"/>
      <c r="AB63" s="391"/>
      <c r="AC63" s="447"/>
      <c r="AD63" s="1154"/>
      <c r="AE63" s="1154"/>
      <c r="AF63" s="1152"/>
      <c r="AG63" s="1160"/>
      <c r="AH63" s="414"/>
      <c r="AI63" s="558">
        <f>IF(AJ63=TRUE,H63*0.8,H63)</f>
        <v>1183.0150338882681</v>
      </c>
      <c r="AJ63" s="414" t="b">
        <v>0</v>
      </c>
      <c r="AK63" s="416">
        <f t="shared" si="18"/>
        <v>1419.6180406659216</v>
      </c>
      <c r="AL63" s="416">
        <f t="shared" si="19"/>
        <v>1537.9195440547487</v>
      </c>
      <c r="AM63" s="416"/>
      <c r="AN63" s="416"/>
      <c r="AO63" s="419"/>
      <c r="AP63" s="258"/>
      <c r="AQ63" s="258"/>
      <c r="AR63" s="417"/>
      <c r="AS63" s="281"/>
      <c r="AT63" s="281"/>
      <c r="AU63" s="417"/>
      <c r="AV63" s="417"/>
      <c r="AW63" s="420"/>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row>
    <row r="64" spans="1:78" s="125" customFormat="1" ht="12.75" customHeight="1" x14ac:dyDescent="0.2">
      <c r="A64" s="531">
        <v>31</v>
      </c>
      <c r="B64" s="528" t="str">
        <f>IF(Stammblatt!$L$4=1,'Kalkulation Herstellungskosten'!AP64,'Kalkulation Herstellungskosten'!AQ64)</f>
        <v>Ton I              Ton II</v>
      </c>
      <c r="C64" s="123">
        <v>0</v>
      </c>
      <c r="D64" s="544"/>
      <c r="E64" s="128"/>
      <c r="F64" s="547">
        <f t="shared" si="25"/>
        <v>0</v>
      </c>
      <c r="G64" s="1159">
        <f>C64*E64+C65*E65</f>
        <v>0</v>
      </c>
      <c r="H64" s="124">
        <f ca="1">IF(AND(Stammblatt!$I$9=TRUE,GHSTK&lt;=1220000),Kollektivvertrag!$C$59,IF(AND(Stammblatt!$I$9=TRUE,GHSTK&lt;=1570000),AN64/2,AN64))</f>
        <v>2079.7246499886151</v>
      </c>
      <c r="I64" s="1163"/>
      <c r="J64" s="817"/>
      <c r="K64" s="817"/>
      <c r="L64" s="815">
        <f>G64*J64</f>
        <v>0</v>
      </c>
      <c r="M64" s="816">
        <f>G64*K64</f>
        <v>0</v>
      </c>
      <c r="N64" s="820" t="str">
        <f t="shared" ref="N64" si="34">IF((L64+M64)&gt;G64,"?","")</f>
        <v/>
      </c>
      <c r="O64" s="1155"/>
      <c r="P64" s="1161"/>
      <c r="Q64" s="1169"/>
      <c r="R64" s="1155"/>
      <c r="S64" s="751"/>
      <c r="T64" s="1155"/>
      <c r="U64" s="1155"/>
      <c r="V64" s="1157">
        <f>SUM(T64:U65)</f>
        <v>0</v>
      </c>
      <c r="W64" s="1157">
        <f>G64-V64</f>
        <v>0</v>
      </c>
      <c r="X64" s="1155"/>
      <c r="Y64" s="1161"/>
      <c r="Z64" s="1169"/>
      <c r="AA64" s="1155"/>
      <c r="AB64" s="391"/>
      <c r="AC64" s="447"/>
      <c r="AD64" s="1153"/>
      <c r="AE64" s="1153"/>
      <c r="AF64" s="1151"/>
      <c r="AG64" s="1159">
        <f>SUM(G64,AD64:AF65)</f>
        <v>0</v>
      </c>
      <c r="AH64" s="414"/>
      <c r="AI64" s="558">
        <f ca="1">IF(AJ65=TRUE,H64*0.8,H64)</f>
        <v>2079.7246499886151</v>
      </c>
      <c r="AJ64" s="414"/>
      <c r="AK64" s="416">
        <f t="shared" ca="1" si="18"/>
        <v>2495.6695799863378</v>
      </c>
      <c r="AL64" s="416">
        <f t="shared" ca="1" si="19"/>
        <v>2703.6420449851998</v>
      </c>
      <c r="AM64" s="416" t="b">
        <v>0</v>
      </c>
      <c r="AN64" s="416">
        <f>IF(AM64=FALSE,Kollektivvertrag!C49,Kollektivvertrag!C50)</f>
        <v>2079.7246499886151</v>
      </c>
      <c r="AO64" s="416"/>
      <c r="AP64" s="258" t="s">
        <v>795</v>
      </c>
      <c r="AQ64" s="258" t="s">
        <v>511</v>
      </c>
      <c r="AR64" s="417"/>
      <c r="AS64" s="281"/>
      <c r="AT64" s="281"/>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row>
    <row r="65" spans="1:78" s="125" customFormat="1" ht="12.75" customHeight="1" x14ac:dyDescent="0.2">
      <c r="A65" s="529"/>
      <c r="B65" s="530" t="str">
        <f>IF(Stammblatt!$L$4=1,'Kalkulation Herstellungskosten'!AP65,'Kalkulation Herstellungskosten'!AQ65)</f>
        <v xml:space="preserve">Wochenpauschale (§ 7 KV) </v>
      </c>
      <c r="C65" s="118">
        <v>0</v>
      </c>
      <c r="D65" s="545"/>
      <c r="E65" s="119"/>
      <c r="F65" s="548">
        <f t="shared" si="25"/>
        <v>0</v>
      </c>
      <c r="G65" s="1160"/>
      <c r="H65" s="120">
        <f ca="1">IF(AND(Stammblatt!$I$9=TRUE,GHSTK&lt;=1220000),Kollektivvertrag!$E$59,IF(AND(Stammblatt!$I$9=TRUE,GHSTK&lt;=1570000),AN65/2,AN65))</f>
        <v>2880.4186402342316</v>
      </c>
      <c r="I65" s="1164"/>
      <c r="J65" s="554"/>
      <c r="K65" s="555"/>
      <c r="L65" s="492"/>
      <c r="M65" s="492"/>
      <c r="N65" s="445"/>
      <c r="O65" s="1156"/>
      <c r="P65" s="1162"/>
      <c r="Q65" s="1170"/>
      <c r="R65" s="1156"/>
      <c r="S65" s="751"/>
      <c r="T65" s="1156"/>
      <c r="U65" s="1156"/>
      <c r="V65" s="1158"/>
      <c r="W65" s="1158"/>
      <c r="X65" s="1156"/>
      <c r="Y65" s="1162"/>
      <c r="Z65" s="1170"/>
      <c r="AA65" s="1156"/>
      <c r="AB65" s="391"/>
      <c r="AC65" s="447"/>
      <c r="AD65" s="1154"/>
      <c r="AE65" s="1154"/>
      <c r="AF65" s="1152"/>
      <c r="AG65" s="1160"/>
      <c r="AH65" s="414"/>
      <c r="AI65" s="558">
        <f ca="1">IF(AJ65=TRUE,H65*0.8,H65)</f>
        <v>2880.4186402342316</v>
      </c>
      <c r="AJ65" s="414" t="b">
        <v>0</v>
      </c>
      <c r="AK65" s="416">
        <f t="shared" ca="1" si="18"/>
        <v>3456.5023682810779</v>
      </c>
      <c r="AL65" s="416">
        <f t="shared" ca="1" si="19"/>
        <v>3744.5442323045013</v>
      </c>
      <c r="AM65" s="416"/>
      <c r="AN65" s="416">
        <f>IF(AM64=FALSE,Kollektivvertrag!E49,Kollektivvertrag!E50)</f>
        <v>2880.4186402342316</v>
      </c>
      <c r="AO65" s="419"/>
      <c r="AP65" s="258" t="s">
        <v>45</v>
      </c>
      <c r="AQ65" s="258" t="s">
        <v>351</v>
      </c>
      <c r="AR65" s="417"/>
      <c r="AS65" s="281"/>
      <c r="AT65" s="281"/>
      <c r="AU65" s="417"/>
      <c r="AV65" s="417"/>
      <c r="AW65" s="420"/>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row>
    <row r="66" spans="1:78" s="125" customFormat="1" ht="12.75" customHeight="1" x14ac:dyDescent="0.2">
      <c r="A66" s="531">
        <v>32</v>
      </c>
      <c r="B66" s="528" t="str">
        <f>IF(Stammblatt!$L$4=1,'Kalkulation Herstellungskosten'!AP66,'Kalkulation Herstellungskosten'!AQ66)</f>
        <v>Tonassistenz</v>
      </c>
      <c r="C66" s="123">
        <v>0</v>
      </c>
      <c r="D66" s="544"/>
      <c r="E66" s="128"/>
      <c r="F66" s="547">
        <f t="shared" si="25"/>
        <v>0</v>
      </c>
      <c r="G66" s="1159">
        <f>C66*E66+C67*E67</f>
        <v>0</v>
      </c>
      <c r="H66" s="124">
        <f>IF(Stammblatt!$I$9=TRUE,Kollektivvertrag!$C$59,Kollektivvertrag!C51)</f>
        <v>1307.8524120014861</v>
      </c>
      <c r="I66" s="1163"/>
      <c r="J66" s="817"/>
      <c r="K66" s="817"/>
      <c r="L66" s="815">
        <f>G66*J66</f>
        <v>0</v>
      </c>
      <c r="M66" s="816">
        <f>G66*K66</f>
        <v>0</v>
      </c>
      <c r="N66" s="820" t="str">
        <f t="shared" ref="N66" si="35">IF((L66+M66)&gt;G66,"?","")</f>
        <v/>
      </c>
      <c r="O66" s="1155"/>
      <c r="P66" s="1161"/>
      <c r="Q66" s="1169"/>
      <c r="R66" s="1155"/>
      <c r="S66" s="751"/>
      <c r="T66" s="1155"/>
      <c r="U66" s="1155"/>
      <c r="V66" s="1157">
        <f>SUM(T66:U67)</f>
        <v>0</v>
      </c>
      <c r="W66" s="1157">
        <f>G66-V66</f>
        <v>0</v>
      </c>
      <c r="X66" s="1155"/>
      <c r="Y66" s="1161"/>
      <c r="Z66" s="1169"/>
      <c r="AA66" s="1155"/>
      <c r="AB66" s="391"/>
      <c r="AC66" s="447"/>
      <c r="AD66" s="1153"/>
      <c r="AE66" s="1153"/>
      <c r="AF66" s="1151"/>
      <c r="AG66" s="1159">
        <f>SUM(G66,AD66:AF67)</f>
        <v>0</v>
      </c>
      <c r="AH66" s="414"/>
      <c r="AI66" s="558">
        <f>IF(AJ67=TRUE,H66*0.8,H66)</f>
        <v>1307.8524120014861</v>
      </c>
      <c r="AJ66" s="414"/>
      <c r="AK66" s="416">
        <f t="shared" si="18"/>
        <v>1569.4228944017832</v>
      </c>
      <c r="AL66" s="416">
        <f t="shared" si="19"/>
        <v>1700.2081356019319</v>
      </c>
      <c r="AM66" s="416"/>
      <c r="AN66" s="416"/>
      <c r="AO66" s="416"/>
      <c r="AP66" s="258" t="s">
        <v>634</v>
      </c>
      <c r="AQ66" s="258" t="s">
        <v>330</v>
      </c>
      <c r="AR66" s="417"/>
      <c r="AS66" s="281"/>
      <c r="AT66" s="281"/>
      <c r="AU66" s="417"/>
      <c r="AV66" s="417"/>
      <c r="AW66" s="417"/>
      <c r="AX66" s="417"/>
      <c r="AY66" s="417"/>
      <c r="AZ66" s="417"/>
      <c r="BA66" s="417"/>
      <c r="BB66" s="417"/>
      <c r="BC66" s="417"/>
      <c r="BD66" s="417"/>
      <c r="BE66" s="417"/>
      <c r="BF66" s="417"/>
      <c r="BG66" s="417"/>
      <c r="BH66" s="417"/>
      <c r="BI66" s="417"/>
      <c r="BJ66" s="417"/>
      <c r="BK66" s="417"/>
      <c r="BL66" s="417"/>
      <c r="BM66" s="417"/>
      <c r="BN66" s="417"/>
      <c r="BO66" s="417"/>
      <c r="BP66" s="417"/>
      <c r="BQ66" s="417"/>
      <c r="BR66" s="417"/>
      <c r="BS66" s="417"/>
      <c r="BT66" s="417"/>
      <c r="BU66" s="417"/>
      <c r="BV66" s="417"/>
      <c r="BW66" s="417"/>
      <c r="BX66" s="417"/>
      <c r="BY66" s="417"/>
      <c r="BZ66" s="417"/>
    </row>
    <row r="67" spans="1:78" s="125" customFormat="1" ht="12.75" customHeight="1" x14ac:dyDescent="0.2">
      <c r="A67" s="529"/>
      <c r="B67" s="530" t="str">
        <f>IF(Stammblatt!$L$4=1,'Kalkulation Herstellungskosten'!AP67,'Kalkulation Herstellungskosten'!AQ67)</f>
        <v xml:space="preserve">Wochenpauschale (§ 7 KV) </v>
      </c>
      <c r="C67" s="118">
        <v>0</v>
      </c>
      <c r="D67" s="545"/>
      <c r="E67" s="119"/>
      <c r="F67" s="548">
        <f t="shared" si="25"/>
        <v>0</v>
      </c>
      <c r="G67" s="1160"/>
      <c r="H67" s="120">
        <f>IF(Stammblatt!$I$9=TRUE,Kollektivvertrag!$E$59,Kollektivvertrag!E51)</f>
        <v>1811.3755906220581</v>
      </c>
      <c r="I67" s="1164"/>
      <c r="J67" s="554"/>
      <c r="K67" s="555"/>
      <c r="L67" s="492"/>
      <c r="M67" s="492"/>
      <c r="N67" s="445"/>
      <c r="O67" s="1156"/>
      <c r="P67" s="1162"/>
      <c r="Q67" s="1170"/>
      <c r="R67" s="1156"/>
      <c r="S67" s="751"/>
      <c r="T67" s="1156"/>
      <c r="U67" s="1156"/>
      <c r="V67" s="1158"/>
      <c r="W67" s="1158"/>
      <c r="X67" s="1156"/>
      <c r="Y67" s="1162"/>
      <c r="Z67" s="1170"/>
      <c r="AA67" s="1156"/>
      <c r="AB67" s="391"/>
      <c r="AC67" s="447"/>
      <c r="AD67" s="1154"/>
      <c r="AE67" s="1154"/>
      <c r="AF67" s="1152"/>
      <c r="AG67" s="1160"/>
      <c r="AH67" s="414"/>
      <c r="AI67" s="558">
        <f>IF(AJ67=TRUE,H67*0.8,H67)</f>
        <v>1811.3755906220581</v>
      </c>
      <c r="AJ67" s="414" t="b">
        <v>0</v>
      </c>
      <c r="AK67" s="416">
        <f t="shared" ref="AK67:AK98" si="36">H67*1.2</f>
        <v>2173.6507087464697</v>
      </c>
      <c r="AL67" s="416">
        <f t="shared" ref="AL67:AL98" si="37">H67*1.3</f>
        <v>2354.7882678086758</v>
      </c>
      <c r="AM67" s="416"/>
      <c r="AN67" s="416"/>
      <c r="AO67" s="419"/>
      <c r="AP67" s="258" t="s">
        <v>45</v>
      </c>
      <c r="AQ67" s="258" t="s">
        <v>351</v>
      </c>
      <c r="AR67" s="417"/>
      <c r="AS67" s="281"/>
      <c r="AT67" s="281"/>
      <c r="AU67" s="417"/>
      <c r="AV67" s="417"/>
      <c r="AW67" s="420"/>
      <c r="AX67" s="417"/>
      <c r="AY67" s="417"/>
      <c r="AZ67" s="417"/>
      <c r="BA67" s="417"/>
      <c r="BB67" s="417"/>
      <c r="BC67" s="417"/>
      <c r="BD67" s="417"/>
      <c r="BE67" s="417"/>
      <c r="BF67" s="417"/>
      <c r="BG67" s="417"/>
      <c r="BH67" s="417"/>
      <c r="BI67" s="417"/>
      <c r="BJ67" s="417"/>
      <c r="BK67" s="417"/>
      <c r="BL67" s="417"/>
      <c r="BM67" s="417"/>
      <c r="BN67" s="417"/>
      <c r="BO67" s="417"/>
      <c r="BP67" s="417"/>
      <c r="BQ67" s="417"/>
      <c r="BR67" s="417"/>
      <c r="BS67" s="417"/>
      <c r="BT67" s="417"/>
      <c r="BU67" s="417"/>
      <c r="BV67" s="417"/>
      <c r="BW67" s="417"/>
      <c r="BX67" s="417"/>
      <c r="BY67" s="417"/>
      <c r="BZ67" s="417"/>
    </row>
    <row r="68" spans="1:78" s="125" customFormat="1" ht="12.75" customHeight="1" x14ac:dyDescent="0.2">
      <c r="A68" s="531">
        <v>33</v>
      </c>
      <c r="B68" s="528" t="str">
        <f>IF(Stammblatt!$L$4=1,'Kalkulation Herstellungskosten'!AP68,'Kalkulation Herstellungskosten'!AQ68)</f>
        <v>Primärtontechnik</v>
      </c>
      <c r="C68" s="123">
        <v>0</v>
      </c>
      <c r="D68" s="544"/>
      <c r="E68" s="128"/>
      <c r="F68" s="547">
        <f t="shared" si="25"/>
        <v>0</v>
      </c>
      <c r="G68" s="1159">
        <f>C68*E68+C69*E69</f>
        <v>0</v>
      </c>
      <c r="H68" s="124">
        <f>IF(Stammblatt!$I$9=TRUE,Kollektivvertrag!$C$59,Kollektivvertrag!C51)</f>
        <v>1307.8524120014861</v>
      </c>
      <c r="I68" s="1163"/>
      <c r="J68" s="817"/>
      <c r="K68" s="817"/>
      <c r="L68" s="815">
        <f>G68*J68</f>
        <v>0</v>
      </c>
      <c r="M68" s="816">
        <f>G68*K68</f>
        <v>0</v>
      </c>
      <c r="N68" s="820" t="str">
        <f t="shared" ref="N68" si="38">IF((L68+M68)&gt;G68,"?","")</f>
        <v/>
      </c>
      <c r="O68" s="1155"/>
      <c r="P68" s="1161"/>
      <c r="Q68" s="1169"/>
      <c r="R68" s="1155"/>
      <c r="S68" s="751"/>
      <c r="T68" s="1155"/>
      <c r="U68" s="1155"/>
      <c r="V68" s="1157">
        <f>SUM(T68:U69)</f>
        <v>0</v>
      </c>
      <c r="W68" s="1157">
        <f>G68-V68</f>
        <v>0</v>
      </c>
      <c r="X68" s="1155"/>
      <c r="Y68" s="1161"/>
      <c r="Z68" s="1169"/>
      <c r="AA68" s="1155"/>
      <c r="AB68" s="391"/>
      <c r="AC68" s="447"/>
      <c r="AD68" s="1153"/>
      <c r="AE68" s="1153"/>
      <c r="AF68" s="1151"/>
      <c r="AG68" s="1159">
        <f>SUM(G68,AD68:AF69)</f>
        <v>0</v>
      </c>
      <c r="AH68" s="414"/>
      <c r="AI68" s="558">
        <f>IF(AJ69=TRUE,H68*0.8,H68)</f>
        <v>1307.8524120014861</v>
      </c>
      <c r="AJ68" s="414"/>
      <c r="AK68" s="416">
        <f t="shared" si="36"/>
        <v>1569.4228944017832</v>
      </c>
      <c r="AL68" s="416">
        <f t="shared" si="37"/>
        <v>1700.2081356019319</v>
      </c>
      <c r="AM68" s="416"/>
      <c r="AN68" s="416"/>
      <c r="AO68" s="416"/>
      <c r="AP68" s="258" t="s">
        <v>635</v>
      </c>
      <c r="AQ68" s="258" t="s">
        <v>384</v>
      </c>
      <c r="AR68" s="417"/>
      <c r="AS68" s="281"/>
      <c r="AT68" s="281"/>
      <c r="AU68" s="417"/>
      <c r="AV68" s="417"/>
      <c r="AW68" s="417"/>
      <c r="AX68" s="417"/>
      <c r="AY68" s="417"/>
      <c r="AZ68" s="417"/>
      <c r="BA68" s="417"/>
      <c r="BB68" s="417"/>
      <c r="BC68" s="417"/>
      <c r="BD68" s="417"/>
      <c r="BE68" s="417"/>
      <c r="BF68" s="417"/>
      <c r="BG68" s="417"/>
      <c r="BH68" s="417"/>
      <c r="BI68" s="417"/>
      <c r="BJ68" s="417"/>
      <c r="BK68" s="417"/>
      <c r="BL68" s="417"/>
      <c r="BM68" s="417"/>
      <c r="BN68" s="417"/>
      <c r="BO68" s="417"/>
      <c r="BP68" s="417"/>
      <c r="BQ68" s="417"/>
      <c r="BR68" s="417"/>
      <c r="BS68" s="417"/>
      <c r="BT68" s="417"/>
      <c r="BU68" s="417"/>
      <c r="BV68" s="417"/>
      <c r="BW68" s="417"/>
      <c r="BX68" s="417"/>
      <c r="BY68" s="417"/>
      <c r="BZ68" s="417"/>
    </row>
    <row r="69" spans="1:78" s="125" customFormat="1" ht="12.75" customHeight="1" x14ac:dyDescent="0.2">
      <c r="A69" s="529"/>
      <c r="B69" s="530" t="str">
        <f>IF(Stammblatt!$L$4=1,'Kalkulation Herstellungskosten'!AP69,'Kalkulation Herstellungskosten'!AQ69)</f>
        <v xml:space="preserve">Wochenpauschale (§ 7 KV) </v>
      </c>
      <c r="C69" s="118">
        <v>0</v>
      </c>
      <c r="D69" s="545"/>
      <c r="E69" s="119"/>
      <c r="F69" s="548">
        <f t="shared" si="25"/>
        <v>0</v>
      </c>
      <c r="G69" s="1160"/>
      <c r="H69" s="120">
        <f>IF(Stammblatt!$I$9=TRUE,Kollektivvertrag!$E$59,Kollektivvertrag!E51)</f>
        <v>1811.3755906220581</v>
      </c>
      <c r="I69" s="1164"/>
      <c r="J69" s="554"/>
      <c r="K69" s="555"/>
      <c r="L69" s="492"/>
      <c r="M69" s="492"/>
      <c r="N69" s="445"/>
      <c r="O69" s="1156"/>
      <c r="P69" s="1162"/>
      <c r="Q69" s="1170"/>
      <c r="R69" s="1156"/>
      <c r="S69" s="751"/>
      <c r="T69" s="1156"/>
      <c r="U69" s="1156"/>
      <c r="V69" s="1158"/>
      <c r="W69" s="1158"/>
      <c r="X69" s="1156"/>
      <c r="Y69" s="1162"/>
      <c r="Z69" s="1170"/>
      <c r="AA69" s="1156"/>
      <c r="AB69" s="391"/>
      <c r="AC69" s="447"/>
      <c r="AD69" s="1154"/>
      <c r="AE69" s="1154"/>
      <c r="AF69" s="1152"/>
      <c r="AG69" s="1160"/>
      <c r="AH69" s="414"/>
      <c r="AI69" s="558">
        <f>IF(AJ69=TRUE,H69*0.8,H69)</f>
        <v>1811.3755906220581</v>
      </c>
      <c r="AJ69" s="414" t="b">
        <v>0</v>
      </c>
      <c r="AK69" s="416">
        <f t="shared" si="36"/>
        <v>2173.6507087464697</v>
      </c>
      <c r="AL69" s="416">
        <f t="shared" si="37"/>
        <v>2354.7882678086758</v>
      </c>
      <c r="AM69" s="416"/>
      <c r="AN69" s="416"/>
      <c r="AO69" s="419"/>
      <c r="AP69" s="258" t="s">
        <v>45</v>
      </c>
      <c r="AQ69" s="258" t="s">
        <v>351</v>
      </c>
      <c r="AR69" s="417"/>
      <c r="AS69" s="281"/>
      <c r="AT69" s="281"/>
      <c r="AU69" s="417"/>
      <c r="AV69" s="417"/>
      <c r="AW69" s="420"/>
      <c r="AX69" s="417"/>
      <c r="AY69" s="417"/>
      <c r="AZ69" s="417"/>
      <c r="BA69" s="417"/>
      <c r="BB69" s="417"/>
      <c r="BC69" s="417"/>
      <c r="BD69" s="417"/>
      <c r="BE69" s="417"/>
      <c r="BF69" s="417"/>
      <c r="BG69" s="417"/>
      <c r="BH69" s="417"/>
      <c r="BI69" s="417"/>
      <c r="BJ69" s="417"/>
      <c r="BK69" s="417"/>
      <c r="BL69" s="417"/>
      <c r="BM69" s="417"/>
      <c r="BN69" s="417"/>
      <c r="BO69" s="417"/>
      <c r="BP69" s="417"/>
      <c r="BQ69" s="417"/>
      <c r="BR69" s="417"/>
      <c r="BS69" s="417"/>
      <c r="BT69" s="417"/>
      <c r="BU69" s="417"/>
      <c r="BV69" s="417"/>
      <c r="BW69" s="417"/>
      <c r="BX69" s="417"/>
      <c r="BY69" s="417"/>
      <c r="BZ69" s="417"/>
    </row>
    <row r="70" spans="1:78" s="125" customFormat="1" ht="12.75" customHeight="1" x14ac:dyDescent="0.2">
      <c r="A70" s="531">
        <v>34</v>
      </c>
      <c r="B70" s="528" t="str">
        <f>IF(Stammblatt!$L$4=1,'Kalkulation Herstellungskosten'!AP70,'Kalkulation Herstellungskosten'!AQ70)</f>
        <v>Schnitt</v>
      </c>
      <c r="C70" s="123">
        <v>0</v>
      </c>
      <c r="D70" s="544"/>
      <c r="E70" s="128"/>
      <c r="F70" s="547">
        <f t="shared" si="25"/>
        <v>0</v>
      </c>
      <c r="G70" s="1159">
        <f>C70*E70+C71*E71</f>
        <v>0</v>
      </c>
      <c r="H70" s="124">
        <f ca="1">IF(AND(Stammblatt!$I$9=TRUE,GHSTK&lt;=1220000),Kollektivvertrag!$C$59,IF(AND(Stammblatt!$I$9=TRUE,GHSTK&lt;=1570000),Kollektivvertrag!C38/2,Kollektivvertrag!C38))</f>
        <v>1490.1578207048697</v>
      </c>
      <c r="I70" s="1163"/>
      <c r="J70" s="817"/>
      <c r="K70" s="817"/>
      <c r="L70" s="815">
        <f>G70*J70</f>
        <v>0</v>
      </c>
      <c r="M70" s="816">
        <f>G70*K70</f>
        <v>0</v>
      </c>
      <c r="N70" s="820" t="str">
        <f t="shared" ref="N70" si="39">IF((L70+M70)&gt;G70,"?","")</f>
        <v/>
      </c>
      <c r="O70" s="1155"/>
      <c r="P70" s="1161"/>
      <c r="Q70" s="1169"/>
      <c r="R70" s="1155"/>
      <c r="S70" s="751"/>
      <c r="T70" s="1155"/>
      <c r="U70" s="1155"/>
      <c r="V70" s="1157">
        <f>SUM(T70:U71)</f>
        <v>0</v>
      </c>
      <c r="W70" s="1157">
        <f>G70-V70</f>
        <v>0</v>
      </c>
      <c r="X70" s="1155"/>
      <c r="Y70" s="1161"/>
      <c r="Z70" s="1169"/>
      <c r="AA70" s="1155"/>
      <c r="AB70" s="391"/>
      <c r="AC70" s="447"/>
      <c r="AD70" s="1153"/>
      <c r="AE70" s="1153"/>
      <c r="AF70" s="1151"/>
      <c r="AG70" s="1159">
        <f>SUM(G70,AD70:AF71)</f>
        <v>0</v>
      </c>
      <c r="AH70" s="414"/>
      <c r="AI70" s="558">
        <f ca="1">IF(AJ71=TRUE,H70*0.8,H70)</f>
        <v>1490.1578207048697</v>
      </c>
      <c r="AJ70" s="414"/>
      <c r="AK70" s="416">
        <f t="shared" ca="1" si="36"/>
        <v>1788.1893848458435</v>
      </c>
      <c r="AL70" s="416">
        <f t="shared" ca="1" si="37"/>
        <v>1937.2051669163307</v>
      </c>
      <c r="AM70" s="416"/>
      <c r="AN70" s="416"/>
      <c r="AO70" s="416"/>
      <c r="AP70" s="258" t="s">
        <v>636</v>
      </c>
      <c r="AQ70" s="258" t="s">
        <v>331</v>
      </c>
      <c r="AR70" s="417"/>
      <c r="AS70" s="281"/>
      <c r="AT70" s="281"/>
      <c r="AU70" s="417"/>
      <c r="AV70" s="417"/>
      <c r="AW70" s="417"/>
      <c r="AX70" s="417"/>
      <c r="AY70" s="417"/>
      <c r="AZ70" s="417"/>
      <c r="BA70" s="417"/>
      <c r="BB70" s="417"/>
      <c r="BC70" s="417"/>
      <c r="BD70" s="417"/>
      <c r="BE70" s="417"/>
      <c r="BF70" s="417"/>
      <c r="BG70" s="417"/>
      <c r="BH70" s="417"/>
      <c r="BI70" s="417"/>
      <c r="BJ70" s="417"/>
      <c r="BK70" s="417"/>
      <c r="BL70" s="417"/>
      <c r="BM70" s="417"/>
      <c r="BN70" s="417"/>
      <c r="BO70" s="417"/>
      <c r="BP70" s="417"/>
      <c r="BQ70" s="417"/>
      <c r="BR70" s="417"/>
      <c r="BS70" s="417"/>
      <c r="BT70" s="417"/>
      <c r="BU70" s="417"/>
      <c r="BV70" s="417"/>
      <c r="BW70" s="417"/>
      <c r="BX70" s="417"/>
      <c r="BY70" s="417"/>
      <c r="BZ70" s="417"/>
    </row>
    <row r="71" spans="1:78" s="125" customFormat="1" ht="12.75" customHeight="1" x14ac:dyDescent="0.2">
      <c r="A71" s="529"/>
      <c r="B71" s="530" t="str">
        <f>IF(Stammblatt!$L$4=1,'Kalkulation Herstellungskosten'!AP71,'Kalkulation Herstellungskosten'!AQ71)</f>
        <v xml:space="preserve">Wochenpauschale (§ 7 KV) </v>
      </c>
      <c r="C71" s="118">
        <v>0</v>
      </c>
      <c r="D71" s="545"/>
      <c r="E71" s="119"/>
      <c r="F71" s="548">
        <f t="shared" si="25"/>
        <v>0</v>
      </c>
      <c r="G71" s="1160"/>
      <c r="H71" s="120">
        <f ca="1">IF(AND(Stammblatt!$I$9=TRUE,GHSTK&lt;=1220000),Kollektivvertrag!$E$59,IF(AND(Stammblatt!$I$9=TRUE,GHSTK&lt;=1570000),Kollektivvertrag!E38/2,Kollektivvertrag!E38))</f>
        <v>2063.8685816762445</v>
      </c>
      <c r="I71" s="1164"/>
      <c r="J71" s="554"/>
      <c r="K71" s="555"/>
      <c r="L71" s="492"/>
      <c r="M71" s="492"/>
      <c r="N71" s="445"/>
      <c r="O71" s="1156"/>
      <c r="P71" s="1162"/>
      <c r="Q71" s="1170"/>
      <c r="R71" s="1156"/>
      <c r="S71" s="751"/>
      <c r="T71" s="1156"/>
      <c r="U71" s="1156"/>
      <c r="V71" s="1158"/>
      <c r="W71" s="1158"/>
      <c r="X71" s="1156"/>
      <c r="Y71" s="1162"/>
      <c r="Z71" s="1170"/>
      <c r="AA71" s="1156"/>
      <c r="AB71" s="391"/>
      <c r="AC71" s="447"/>
      <c r="AD71" s="1154"/>
      <c r="AE71" s="1154"/>
      <c r="AF71" s="1152"/>
      <c r="AG71" s="1160"/>
      <c r="AH71" s="414"/>
      <c r="AI71" s="558">
        <f ca="1">IF(AJ71=TRUE,H71*0.8,H71)</f>
        <v>2063.8685816762445</v>
      </c>
      <c r="AJ71" s="414" t="b">
        <v>0</v>
      </c>
      <c r="AK71" s="416">
        <f t="shared" ca="1" si="36"/>
        <v>2476.6422980114935</v>
      </c>
      <c r="AL71" s="416">
        <f t="shared" ca="1" si="37"/>
        <v>2683.0291561791178</v>
      </c>
      <c r="AM71" s="416"/>
      <c r="AN71" s="416"/>
      <c r="AO71" s="419"/>
      <c r="AP71" s="258" t="s">
        <v>45</v>
      </c>
      <c r="AQ71" s="258" t="s">
        <v>351</v>
      </c>
      <c r="AR71" s="417"/>
      <c r="AS71" s="281"/>
      <c r="AT71" s="281"/>
      <c r="AU71" s="417"/>
      <c r="AV71" s="417"/>
      <c r="AW71" s="420"/>
      <c r="AX71" s="417"/>
      <c r="AY71" s="417"/>
      <c r="AZ71" s="417"/>
      <c r="BA71" s="417"/>
      <c r="BB71" s="417"/>
      <c r="BC71" s="417"/>
      <c r="BD71" s="417"/>
      <c r="BE71" s="417"/>
      <c r="BF71" s="417"/>
      <c r="BG71" s="417"/>
      <c r="BH71" s="417"/>
      <c r="BI71" s="417"/>
      <c r="BJ71" s="417"/>
      <c r="BK71" s="417"/>
      <c r="BL71" s="417"/>
      <c r="BM71" s="417"/>
      <c r="BN71" s="417"/>
      <c r="BO71" s="417"/>
      <c r="BP71" s="417"/>
      <c r="BQ71" s="417"/>
      <c r="BR71" s="417"/>
      <c r="BS71" s="417"/>
      <c r="BT71" s="417"/>
      <c r="BU71" s="417"/>
      <c r="BV71" s="417"/>
      <c r="BW71" s="417"/>
      <c r="BX71" s="417"/>
      <c r="BY71" s="417"/>
      <c r="BZ71" s="417"/>
    </row>
    <row r="72" spans="1:78" s="125" customFormat="1" ht="12.75" customHeight="1" x14ac:dyDescent="0.2">
      <c r="A72" s="531">
        <v>35</v>
      </c>
      <c r="B72" s="528" t="str">
        <f>IF(Stammblatt!$L$4=1,'Kalkulation Herstellungskosten'!AP72,'Kalkulation Herstellungskosten'!AQ72)</f>
        <v>Schnittassistenz</v>
      </c>
      <c r="C72" s="123">
        <v>0</v>
      </c>
      <c r="D72" s="544"/>
      <c r="E72" s="128"/>
      <c r="F72" s="547">
        <f t="shared" si="25"/>
        <v>0</v>
      </c>
      <c r="G72" s="1159">
        <f>C72*E72+C73*E73</f>
        <v>0</v>
      </c>
      <c r="H72" s="124">
        <f>IF(Stammblatt!$I$9=TRUE,Kollektivvertrag!$C$59,Kollektivvertrag!C39)</f>
        <v>972.64111126782632</v>
      </c>
      <c r="I72" s="1163"/>
      <c r="J72" s="817"/>
      <c r="K72" s="817"/>
      <c r="L72" s="815">
        <f>G72*J72</f>
        <v>0</v>
      </c>
      <c r="M72" s="816">
        <f>G72*K72</f>
        <v>0</v>
      </c>
      <c r="N72" s="820" t="str">
        <f t="shared" ref="N72" si="40">IF((L72+M72)&gt;G72,"?","")</f>
        <v/>
      </c>
      <c r="O72" s="1155"/>
      <c r="P72" s="1161"/>
      <c r="Q72" s="1169"/>
      <c r="R72" s="1155"/>
      <c r="S72" s="751"/>
      <c r="T72" s="1155"/>
      <c r="U72" s="1155"/>
      <c r="V72" s="1157">
        <f>SUM(T72:U73)</f>
        <v>0</v>
      </c>
      <c r="W72" s="1157">
        <f>G72-V72</f>
        <v>0</v>
      </c>
      <c r="X72" s="1155"/>
      <c r="Y72" s="1161"/>
      <c r="Z72" s="1169"/>
      <c r="AA72" s="1155"/>
      <c r="AB72" s="391"/>
      <c r="AC72" s="447"/>
      <c r="AD72" s="1153"/>
      <c r="AE72" s="1153"/>
      <c r="AF72" s="1151"/>
      <c r="AG72" s="1159">
        <f>SUM(G72,AD72:AF73)</f>
        <v>0</v>
      </c>
      <c r="AH72" s="414"/>
      <c r="AI72" s="558">
        <f>IF(AJ73=TRUE,H72*0.8,H72)</f>
        <v>972.64111126782632</v>
      </c>
      <c r="AJ72" s="414"/>
      <c r="AK72" s="416">
        <f t="shared" si="36"/>
        <v>1167.1693335213915</v>
      </c>
      <c r="AL72" s="416">
        <f t="shared" si="37"/>
        <v>1264.4334446481741</v>
      </c>
      <c r="AM72" s="416"/>
      <c r="AN72" s="416"/>
      <c r="AO72" s="416"/>
      <c r="AP72" s="258" t="s">
        <v>638</v>
      </c>
      <c r="AQ72" s="258" t="s">
        <v>355</v>
      </c>
      <c r="AR72" s="417"/>
      <c r="AS72" s="281"/>
      <c r="AT72" s="281"/>
      <c r="AU72" s="417"/>
      <c r="AV72" s="417"/>
      <c r="AW72" s="417"/>
      <c r="AX72" s="417"/>
      <c r="AY72" s="417"/>
      <c r="AZ72" s="417"/>
      <c r="BA72" s="417"/>
      <c r="BB72" s="417"/>
      <c r="BC72" s="417"/>
      <c r="BD72" s="417"/>
      <c r="BE72" s="417"/>
      <c r="BF72" s="417"/>
      <c r="BG72" s="417"/>
      <c r="BH72" s="417"/>
      <c r="BI72" s="417"/>
      <c r="BJ72" s="417"/>
      <c r="BK72" s="417"/>
      <c r="BL72" s="417"/>
      <c r="BM72" s="417"/>
      <c r="BN72" s="417"/>
      <c r="BO72" s="417"/>
      <c r="BP72" s="417"/>
      <c r="BQ72" s="417"/>
      <c r="BR72" s="417"/>
      <c r="BS72" s="417"/>
      <c r="BT72" s="417"/>
      <c r="BU72" s="417"/>
      <c r="BV72" s="417"/>
      <c r="BW72" s="417"/>
      <c r="BX72" s="417"/>
      <c r="BY72" s="417"/>
      <c r="BZ72" s="417"/>
    </row>
    <row r="73" spans="1:78" s="125" customFormat="1" ht="12.75" customHeight="1" x14ac:dyDescent="0.2">
      <c r="A73" s="529"/>
      <c r="B73" s="530" t="str">
        <f>IF(Stammblatt!$L$4=1,'Kalkulation Herstellungskosten'!AP73,'Kalkulation Herstellungskosten'!AQ73)</f>
        <v xml:space="preserve">Wochenpauschale (§ 7 KV) </v>
      </c>
      <c r="C73" s="118">
        <v>0</v>
      </c>
      <c r="D73" s="545"/>
      <c r="E73" s="119"/>
      <c r="F73" s="548">
        <f t="shared" si="25"/>
        <v>0</v>
      </c>
      <c r="G73" s="1160"/>
      <c r="H73" s="120">
        <f>IF(Stammblatt!$I$9=TRUE,Kollektivvertrag!$E$59,Kollektivvertrag!E39)</f>
        <v>1347.1079391059393</v>
      </c>
      <c r="I73" s="1164"/>
      <c r="J73" s="554"/>
      <c r="K73" s="555"/>
      <c r="L73" s="492"/>
      <c r="M73" s="492"/>
      <c r="N73" s="445"/>
      <c r="O73" s="1156"/>
      <c r="P73" s="1162"/>
      <c r="Q73" s="1170"/>
      <c r="R73" s="1156"/>
      <c r="S73" s="751"/>
      <c r="T73" s="1156"/>
      <c r="U73" s="1156"/>
      <c r="V73" s="1158"/>
      <c r="W73" s="1158"/>
      <c r="X73" s="1156"/>
      <c r="Y73" s="1162"/>
      <c r="Z73" s="1170"/>
      <c r="AA73" s="1156"/>
      <c r="AB73" s="391"/>
      <c r="AC73" s="447"/>
      <c r="AD73" s="1154"/>
      <c r="AE73" s="1154"/>
      <c r="AF73" s="1152"/>
      <c r="AG73" s="1160"/>
      <c r="AH73" s="414"/>
      <c r="AI73" s="558">
        <f>IF(AJ73=TRUE,H73*0.8,H73)</f>
        <v>1347.1079391059393</v>
      </c>
      <c r="AJ73" s="414" t="b">
        <v>0</v>
      </c>
      <c r="AK73" s="416">
        <f t="shared" si="36"/>
        <v>1616.5295269271271</v>
      </c>
      <c r="AL73" s="416">
        <f t="shared" si="37"/>
        <v>1751.2403208377211</v>
      </c>
      <c r="AM73" s="416"/>
      <c r="AN73" s="416"/>
      <c r="AO73" s="419"/>
      <c r="AP73" s="258" t="s">
        <v>45</v>
      </c>
      <c r="AQ73" s="258" t="s">
        <v>351</v>
      </c>
      <c r="AR73" s="417"/>
      <c r="AS73" s="281"/>
      <c r="AT73" s="281"/>
      <c r="AU73" s="417"/>
      <c r="AV73" s="417"/>
      <c r="AW73" s="420"/>
      <c r="AX73" s="417"/>
      <c r="AY73" s="417"/>
      <c r="AZ73" s="417"/>
      <c r="BA73" s="417"/>
      <c r="BB73" s="417"/>
      <c r="BC73" s="417"/>
      <c r="BD73" s="417"/>
      <c r="BE73" s="417"/>
      <c r="BF73" s="417"/>
      <c r="BG73" s="417"/>
      <c r="BH73" s="417"/>
      <c r="BI73" s="417"/>
      <c r="BJ73" s="417"/>
      <c r="BK73" s="417"/>
      <c r="BL73" s="417"/>
      <c r="BM73" s="417"/>
      <c r="BN73" s="417"/>
      <c r="BO73" s="417"/>
      <c r="BP73" s="417"/>
      <c r="BQ73" s="417"/>
      <c r="BR73" s="417"/>
      <c r="BS73" s="417"/>
      <c r="BT73" s="417"/>
      <c r="BU73" s="417"/>
      <c r="BV73" s="417"/>
      <c r="BW73" s="417"/>
      <c r="BX73" s="417"/>
      <c r="BY73" s="417"/>
      <c r="BZ73" s="417"/>
    </row>
    <row r="74" spans="1:78" s="125" customFormat="1" ht="12.75" customHeight="1" x14ac:dyDescent="0.2">
      <c r="A74" s="531">
        <v>36</v>
      </c>
      <c r="B74" s="528" t="s">
        <v>644</v>
      </c>
      <c r="C74" s="123">
        <v>0</v>
      </c>
      <c r="D74" s="544"/>
      <c r="E74" s="128"/>
      <c r="F74" s="547">
        <f t="shared" si="25"/>
        <v>0</v>
      </c>
      <c r="G74" s="1159">
        <f>C74*E74+C75*E75</f>
        <v>0</v>
      </c>
      <c r="H74" s="124">
        <f ca="1">IF(AND(Stammblatt!$I$9=TRUE,GHSTK&lt;=1220000),Kollektivvertrag!$C$59,IF(AND(Stammblatt!$I$9=TRUE,GHSTK&lt;=1570000),Kollektivvertrag!C41/2,Kollektivvertrag!C41))</f>
        <v>1490.1578207048697</v>
      </c>
      <c r="I74" s="1163"/>
      <c r="J74" s="817"/>
      <c r="K74" s="817"/>
      <c r="L74" s="815">
        <f>G74*J74</f>
        <v>0</v>
      </c>
      <c r="M74" s="816">
        <f>G74*K74</f>
        <v>0</v>
      </c>
      <c r="N74" s="820" t="str">
        <f t="shared" ref="N74" si="41">IF((L74+M74)&gt;G74,"?","")</f>
        <v/>
      </c>
      <c r="O74" s="1155"/>
      <c r="P74" s="1161"/>
      <c r="Q74" s="1169"/>
      <c r="R74" s="1155"/>
      <c r="S74" s="751"/>
      <c r="T74" s="1155"/>
      <c r="U74" s="1155"/>
      <c r="V74" s="1157">
        <f>SUM(T74:U75)</f>
        <v>0</v>
      </c>
      <c r="W74" s="1157">
        <f>G74-V74</f>
        <v>0</v>
      </c>
      <c r="X74" s="1155"/>
      <c r="Y74" s="1161"/>
      <c r="Z74" s="1169"/>
      <c r="AA74" s="1155"/>
      <c r="AB74" s="391"/>
      <c r="AC74" s="447"/>
      <c r="AD74" s="1153"/>
      <c r="AE74" s="1153"/>
      <c r="AF74" s="1151"/>
      <c r="AG74" s="1159">
        <f>SUM(G74,AD74:AF75)</f>
        <v>0</v>
      </c>
      <c r="AH74" s="414"/>
      <c r="AI74" s="558">
        <f ca="1">IF(AJ75=TRUE,H74*0.8,H74)</f>
        <v>1490.1578207048697</v>
      </c>
      <c r="AJ74" s="414"/>
      <c r="AK74" s="416">
        <f t="shared" ca="1" si="36"/>
        <v>1788.1893848458435</v>
      </c>
      <c r="AL74" s="416">
        <f t="shared" ca="1" si="37"/>
        <v>1937.2051669163307</v>
      </c>
      <c r="AM74" s="416"/>
      <c r="AN74" s="416"/>
      <c r="AO74" s="416"/>
      <c r="AP74" s="258"/>
      <c r="AQ74" s="258"/>
      <c r="AR74" s="417"/>
      <c r="AS74" s="281"/>
      <c r="AT74" s="281"/>
      <c r="AU74" s="417"/>
      <c r="AV74" s="417"/>
      <c r="AW74" s="417"/>
      <c r="AX74" s="417"/>
      <c r="AY74" s="417"/>
      <c r="AZ74" s="417"/>
      <c r="BA74" s="417"/>
      <c r="BB74" s="417"/>
      <c r="BC74" s="417"/>
      <c r="BD74" s="417"/>
      <c r="BE74" s="417"/>
      <c r="BF74" s="417"/>
      <c r="BG74" s="417"/>
      <c r="BH74" s="417"/>
      <c r="BI74" s="417"/>
      <c r="BJ74" s="417"/>
      <c r="BK74" s="417"/>
      <c r="BL74" s="417"/>
      <c r="BM74" s="417"/>
      <c r="BN74" s="417"/>
      <c r="BO74" s="417"/>
      <c r="BP74" s="417"/>
      <c r="BQ74" s="417"/>
      <c r="BR74" s="417"/>
      <c r="BS74" s="417"/>
      <c r="BT74" s="417"/>
      <c r="BU74" s="417"/>
      <c r="BV74" s="417"/>
      <c r="BW74" s="417"/>
      <c r="BX74" s="417"/>
      <c r="BY74" s="417"/>
      <c r="BZ74" s="417"/>
    </row>
    <row r="75" spans="1:78" s="125" customFormat="1" ht="12.75" customHeight="1" x14ac:dyDescent="0.2">
      <c r="A75" s="529"/>
      <c r="B75" s="530" t="str">
        <f>IF(Stammblatt!$L$4=1,'Kalkulation Herstellungskosten'!AP75,'Kalkulation Herstellungskosten'!AQ75)</f>
        <v xml:space="preserve">Wochenpauschale (§ 7 KV) </v>
      </c>
      <c r="C75" s="118">
        <v>0</v>
      </c>
      <c r="D75" s="545"/>
      <c r="E75" s="119"/>
      <c r="F75" s="548">
        <f t="shared" si="25"/>
        <v>0</v>
      </c>
      <c r="G75" s="1160"/>
      <c r="H75" s="120">
        <f ca="1">IF(AND(Stammblatt!$I$9=TRUE,GHSTK&lt;=1220000),Kollektivvertrag!$E$59,IF(AND(Stammblatt!$I$9=TRUE,GHSTK&lt;=1570000),Kollektivvertrag!E41/2,Kollektivvertrag!E41))</f>
        <v>2063.8685816762445</v>
      </c>
      <c r="I75" s="1164"/>
      <c r="J75" s="554"/>
      <c r="K75" s="555"/>
      <c r="L75" s="492"/>
      <c r="M75" s="492"/>
      <c r="N75" s="445"/>
      <c r="O75" s="1156"/>
      <c r="P75" s="1162"/>
      <c r="Q75" s="1170"/>
      <c r="R75" s="1156"/>
      <c r="S75" s="751"/>
      <c r="T75" s="1156"/>
      <c r="U75" s="1156"/>
      <c r="V75" s="1158"/>
      <c r="W75" s="1158"/>
      <c r="X75" s="1156"/>
      <c r="Y75" s="1162"/>
      <c r="Z75" s="1170"/>
      <c r="AA75" s="1156"/>
      <c r="AB75" s="391"/>
      <c r="AC75" s="447"/>
      <c r="AD75" s="1154"/>
      <c r="AE75" s="1154"/>
      <c r="AF75" s="1152"/>
      <c r="AG75" s="1160"/>
      <c r="AH75" s="414"/>
      <c r="AI75" s="558">
        <f ca="1">IF(AJ75=TRUE,H75*0.8,H75)</f>
        <v>2063.8685816762445</v>
      </c>
      <c r="AJ75" s="414" t="b">
        <v>0</v>
      </c>
      <c r="AK75" s="416">
        <f t="shared" ca="1" si="36"/>
        <v>2476.6422980114935</v>
      </c>
      <c r="AL75" s="416">
        <f t="shared" ca="1" si="37"/>
        <v>2683.0291561791178</v>
      </c>
      <c r="AM75" s="416"/>
      <c r="AN75" s="416"/>
      <c r="AO75" s="419"/>
      <c r="AP75" s="258" t="s">
        <v>45</v>
      </c>
      <c r="AQ75" s="258" t="s">
        <v>351</v>
      </c>
      <c r="AR75" s="417"/>
      <c r="AS75" s="281"/>
      <c r="AT75" s="281"/>
      <c r="AU75" s="417"/>
      <c r="AV75" s="417"/>
      <c r="AW75" s="420"/>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c r="BT75" s="417"/>
      <c r="BU75" s="417"/>
      <c r="BV75" s="417"/>
      <c r="BW75" s="417"/>
      <c r="BX75" s="417"/>
      <c r="BY75" s="417"/>
      <c r="BZ75" s="417"/>
    </row>
    <row r="76" spans="1:78" s="125" customFormat="1" ht="12.75" customHeight="1" x14ac:dyDescent="0.2">
      <c r="A76" s="531">
        <v>37</v>
      </c>
      <c r="B76" s="528" t="str">
        <f>IF(Stammblatt!$L$4=1,'Kalkulation Herstellungskosten'!AP76,'Kalkulation Herstellungskosten'!AQ76)</f>
        <v>Tonschnitt</v>
      </c>
      <c r="C76" s="123">
        <v>0</v>
      </c>
      <c r="D76" s="544"/>
      <c r="E76" s="128"/>
      <c r="F76" s="547">
        <f t="shared" si="25"/>
        <v>0</v>
      </c>
      <c r="G76" s="1159">
        <f>C76*E76+C77*E77</f>
        <v>0</v>
      </c>
      <c r="H76" s="124">
        <f>IF(Stammblatt!$I$9=TRUE,Kollektivvertrag!$C$59,Kollektivvertrag!C40)</f>
        <v>1117.621916194917</v>
      </c>
      <c r="I76" s="1163"/>
      <c r="J76" s="817"/>
      <c r="K76" s="817"/>
      <c r="L76" s="815">
        <f>G76*J76</f>
        <v>0</v>
      </c>
      <c r="M76" s="816">
        <f>G76*K76</f>
        <v>0</v>
      </c>
      <c r="N76" s="820" t="str">
        <f t="shared" ref="N76" si="42">IF((L76+M76)&gt;G76,"?","")</f>
        <v/>
      </c>
      <c r="O76" s="1155"/>
      <c r="P76" s="1161"/>
      <c r="Q76" s="1169"/>
      <c r="R76" s="1155"/>
      <c r="S76" s="751"/>
      <c r="T76" s="1155"/>
      <c r="U76" s="1155"/>
      <c r="V76" s="1157">
        <f>SUM(T76:U77)</f>
        <v>0</v>
      </c>
      <c r="W76" s="1157">
        <f>G76-V76</f>
        <v>0</v>
      </c>
      <c r="X76" s="1155"/>
      <c r="Y76" s="1161"/>
      <c r="Z76" s="1169"/>
      <c r="AA76" s="1155"/>
      <c r="AB76" s="391"/>
      <c r="AC76" s="447"/>
      <c r="AD76" s="1153"/>
      <c r="AE76" s="1153"/>
      <c r="AF76" s="1151"/>
      <c r="AG76" s="1159">
        <f>SUM(G76,AD76:AF77)</f>
        <v>0</v>
      </c>
      <c r="AH76" s="414"/>
      <c r="AI76" s="558">
        <f>IF(AJ77=TRUE,H76*0.8,H76)</f>
        <v>1117.621916194917</v>
      </c>
      <c r="AJ76" s="414"/>
      <c r="AK76" s="416">
        <f t="shared" si="36"/>
        <v>1341.1462994339004</v>
      </c>
      <c r="AL76" s="416">
        <f t="shared" si="37"/>
        <v>1452.9084910533923</v>
      </c>
      <c r="AM76" s="416"/>
      <c r="AN76" s="416"/>
      <c r="AO76" s="416"/>
      <c r="AP76" s="258" t="s">
        <v>637</v>
      </c>
      <c r="AQ76" s="258" t="s">
        <v>354</v>
      </c>
      <c r="AR76" s="417"/>
      <c r="AS76" s="281"/>
      <c r="AT76" s="281"/>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c r="BT76" s="417"/>
      <c r="BU76" s="417"/>
      <c r="BV76" s="417"/>
      <c r="BW76" s="417"/>
      <c r="BX76" s="417"/>
      <c r="BY76" s="417"/>
      <c r="BZ76" s="417"/>
    </row>
    <row r="77" spans="1:78" s="125" customFormat="1" ht="12.75" customHeight="1" x14ac:dyDescent="0.2">
      <c r="A77" s="529"/>
      <c r="B77" s="530" t="str">
        <f>IF(Stammblatt!$L$4=1,'Kalkulation Herstellungskosten'!AP77,'Kalkulation Herstellungskosten'!AQ77)</f>
        <v xml:space="preserve">Wochenpauschale (§ 7 KV) </v>
      </c>
      <c r="C77" s="118">
        <v>0</v>
      </c>
      <c r="D77" s="545"/>
      <c r="E77" s="119"/>
      <c r="F77" s="548">
        <f t="shared" si="25"/>
        <v>0</v>
      </c>
      <c r="G77" s="1160"/>
      <c r="H77" s="120">
        <f>IF(Stammblatt!$I$9=TRUE,Kollektivvertrag!$E$59,Kollektivvertrag!E40)</f>
        <v>1547.90635392996</v>
      </c>
      <c r="I77" s="1164"/>
      <c r="J77" s="554"/>
      <c r="K77" s="555"/>
      <c r="L77" s="492"/>
      <c r="M77" s="492"/>
      <c r="N77" s="445"/>
      <c r="O77" s="1156"/>
      <c r="P77" s="1162"/>
      <c r="Q77" s="1170"/>
      <c r="R77" s="1156"/>
      <c r="S77" s="751"/>
      <c r="T77" s="1156"/>
      <c r="U77" s="1156"/>
      <c r="V77" s="1158"/>
      <c r="W77" s="1158"/>
      <c r="X77" s="1156"/>
      <c r="Y77" s="1162"/>
      <c r="Z77" s="1170"/>
      <c r="AA77" s="1156"/>
      <c r="AB77" s="391"/>
      <c r="AC77" s="447"/>
      <c r="AD77" s="1154"/>
      <c r="AE77" s="1154"/>
      <c r="AF77" s="1152"/>
      <c r="AG77" s="1160"/>
      <c r="AH77" s="414"/>
      <c r="AI77" s="558">
        <f>IF(AJ77=TRUE,H77*0.8,H77)</f>
        <v>1547.90635392996</v>
      </c>
      <c r="AJ77" s="414" t="b">
        <v>0</v>
      </c>
      <c r="AK77" s="416">
        <f t="shared" si="36"/>
        <v>1857.4876247159518</v>
      </c>
      <c r="AL77" s="416">
        <f t="shared" si="37"/>
        <v>2012.2782601089482</v>
      </c>
      <c r="AM77" s="416"/>
      <c r="AN77" s="416"/>
      <c r="AO77" s="419"/>
      <c r="AP77" s="258" t="s">
        <v>45</v>
      </c>
      <c r="AQ77" s="258" t="s">
        <v>351</v>
      </c>
      <c r="AR77" s="417"/>
      <c r="AS77" s="281"/>
      <c r="AT77" s="281"/>
      <c r="AU77" s="417"/>
      <c r="AV77" s="417"/>
      <c r="AW77" s="420"/>
      <c r="AX77" s="417"/>
      <c r="AY77" s="417"/>
      <c r="AZ77" s="417"/>
      <c r="BA77" s="417"/>
      <c r="BB77" s="417"/>
      <c r="BC77" s="417"/>
      <c r="BD77" s="417"/>
      <c r="BE77" s="417"/>
      <c r="BF77" s="417"/>
      <c r="BG77" s="417"/>
      <c r="BH77" s="417"/>
      <c r="BI77" s="417"/>
      <c r="BJ77" s="417"/>
      <c r="BK77" s="417"/>
      <c r="BL77" s="417"/>
      <c r="BM77" s="417"/>
      <c r="BN77" s="417"/>
      <c r="BO77" s="417"/>
      <c r="BP77" s="417"/>
      <c r="BQ77" s="417"/>
      <c r="BR77" s="417"/>
      <c r="BS77" s="417"/>
      <c r="BT77" s="417"/>
      <c r="BU77" s="417"/>
      <c r="BV77" s="417"/>
      <c r="BW77" s="417"/>
      <c r="BX77" s="417"/>
      <c r="BY77" s="417"/>
      <c r="BZ77" s="417"/>
    </row>
    <row r="78" spans="1:78" s="125" customFormat="1" ht="12.75" customHeight="1" x14ac:dyDescent="0.2">
      <c r="A78" s="531">
        <v>38</v>
      </c>
      <c r="B78" s="528" t="str">
        <f>IF(Stammblatt!$L$4=1,'Kalkulation Herstellungskosten'!AP78,'Kalkulation Herstellungskosten'!AQ78)</f>
        <v>Kostümbild</v>
      </c>
      <c r="C78" s="123">
        <v>0</v>
      </c>
      <c r="D78" s="544"/>
      <c r="E78" s="128"/>
      <c r="F78" s="547">
        <f t="shared" si="25"/>
        <v>0</v>
      </c>
      <c r="G78" s="1159">
        <f>C78*E78+C79*E79</f>
        <v>0</v>
      </c>
      <c r="H78" s="124">
        <f ca="1">IF(AND(Stammblatt!$I$9=TRUE,GHSTK&lt;=1220000),Kollektivvertrag!$C$59,IF(AND(Stammblatt!$I$9=TRUE,GHSTK&lt;=1570000),Kollektivvertrag!C44/2,Kollektivvertrag!C44))</f>
        <v>1606.5344582021837</v>
      </c>
      <c r="I78" s="1163"/>
      <c r="J78" s="817"/>
      <c r="K78" s="817"/>
      <c r="L78" s="815">
        <f>G78*J78</f>
        <v>0</v>
      </c>
      <c r="M78" s="816">
        <f>G78*K78</f>
        <v>0</v>
      </c>
      <c r="N78" s="820" t="str">
        <f t="shared" ref="N78" si="43">IF((L78+M78)&gt;G78,"?","")</f>
        <v/>
      </c>
      <c r="O78" s="1155"/>
      <c r="P78" s="1161"/>
      <c r="Q78" s="1169"/>
      <c r="R78" s="1155"/>
      <c r="S78" s="751"/>
      <c r="T78" s="1155"/>
      <c r="U78" s="1155"/>
      <c r="V78" s="1157">
        <f>SUM(T78:U79)</f>
        <v>0</v>
      </c>
      <c r="W78" s="1157">
        <f>G78-V78</f>
        <v>0</v>
      </c>
      <c r="X78" s="1155"/>
      <c r="Y78" s="1161"/>
      <c r="Z78" s="1169"/>
      <c r="AA78" s="1155"/>
      <c r="AB78" s="391"/>
      <c r="AC78" s="447"/>
      <c r="AD78" s="1153"/>
      <c r="AE78" s="1153"/>
      <c r="AF78" s="1151"/>
      <c r="AG78" s="1159">
        <f>SUM(G78,AD78:AF79)</f>
        <v>0</v>
      </c>
      <c r="AH78" s="414"/>
      <c r="AI78" s="558">
        <f ca="1">IF(AJ79=TRUE,H78*0.8,H78)</f>
        <v>1606.5344582021837</v>
      </c>
      <c r="AJ78" s="414"/>
      <c r="AK78" s="416">
        <f t="shared" ca="1" si="36"/>
        <v>1927.8413498426203</v>
      </c>
      <c r="AL78" s="416">
        <f t="shared" ca="1" si="37"/>
        <v>2088.4947956628389</v>
      </c>
      <c r="AM78" s="416"/>
      <c r="AN78" s="416"/>
      <c r="AO78" s="416"/>
      <c r="AP78" s="258" t="s">
        <v>615</v>
      </c>
      <c r="AQ78" s="258" t="s">
        <v>332</v>
      </c>
      <c r="AR78" s="417"/>
      <c r="AS78" s="281"/>
      <c r="AT78" s="281"/>
      <c r="AU78" s="417"/>
      <c r="AV78" s="417"/>
      <c r="AW78" s="417"/>
      <c r="AX78" s="417"/>
      <c r="AY78" s="417"/>
      <c r="AZ78" s="417"/>
      <c r="BA78" s="417"/>
      <c r="BB78" s="417"/>
      <c r="BC78" s="417"/>
      <c r="BD78" s="417"/>
      <c r="BE78" s="417"/>
      <c r="BF78" s="417"/>
      <c r="BG78" s="417"/>
      <c r="BH78" s="417"/>
      <c r="BI78" s="417"/>
      <c r="BJ78" s="417"/>
      <c r="BK78" s="417"/>
      <c r="BL78" s="417"/>
      <c r="BM78" s="417"/>
      <c r="BN78" s="417"/>
      <c r="BO78" s="417"/>
      <c r="BP78" s="417"/>
      <c r="BQ78" s="417"/>
      <c r="BR78" s="417"/>
      <c r="BS78" s="417"/>
      <c r="BT78" s="417"/>
      <c r="BU78" s="417"/>
      <c r="BV78" s="417"/>
      <c r="BW78" s="417"/>
      <c r="BX78" s="417"/>
      <c r="BY78" s="417"/>
      <c r="BZ78" s="417"/>
    </row>
    <row r="79" spans="1:78" s="125" customFormat="1" ht="12.75" customHeight="1" x14ac:dyDescent="0.2">
      <c r="A79" s="529"/>
      <c r="B79" s="530" t="str">
        <f>IF(Stammblatt!$L$4=1,'Kalkulation Herstellungskosten'!AP79,'Kalkulation Herstellungskosten'!AQ79)</f>
        <v xml:space="preserve">Wochenpauschale (§ 7 KV) </v>
      </c>
      <c r="C79" s="118">
        <v>0</v>
      </c>
      <c r="D79" s="545"/>
      <c r="E79" s="119"/>
      <c r="F79" s="548">
        <f t="shared" si="25"/>
        <v>0</v>
      </c>
      <c r="G79" s="1160"/>
      <c r="H79" s="120">
        <f ca="1">IF(AND(Stammblatt!$I$9=TRUE,GHSTK&lt;=1220000),Kollektivvertrag!$E$59,IF(AND(Stammblatt!$I$9=TRUE,GHSTK&lt;=1570000),Kollektivvertrag!E44/2,Kollektivvertrag!E44))</f>
        <v>2225.0502246100245</v>
      </c>
      <c r="I79" s="1164"/>
      <c r="J79" s="554"/>
      <c r="K79" s="555"/>
      <c r="L79" s="492"/>
      <c r="M79" s="492"/>
      <c r="N79" s="445"/>
      <c r="O79" s="1156"/>
      <c r="P79" s="1162"/>
      <c r="Q79" s="1170"/>
      <c r="R79" s="1156"/>
      <c r="S79" s="751"/>
      <c r="T79" s="1156"/>
      <c r="U79" s="1156"/>
      <c r="V79" s="1158"/>
      <c r="W79" s="1158"/>
      <c r="X79" s="1156"/>
      <c r="Y79" s="1162"/>
      <c r="Z79" s="1170"/>
      <c r="AA79" s="1156"/>
      <c r="AB79" s="391"/>
      <c r="AC79" s="447"/>
      <c r="AD79" s="1154"/>
      <c r="AE79" s="1154"/>
      <c r="AF79" s="1152"/>
      <c r="AG79" s="1160"/>
      <c r="AH79" s="414"/>
      <c r="AI79" s="558">
        <f ca="1">IF(AJ79=TRUE,H79*0.8,H79)</f>
        <v>2225.0502246100245</v>
      </c>
      <c r="AJ79" s="414" t="b">
        <v>0</v>
      </c>
      <c r="AK79" s="416">
        <f t="shared" ca="1" si="36"/>
        <v>2670.0602695320295</v>
      </c>
      <c r="AL79" s="416">
        <f t="shared" ca="1" si="37"/>
        <v>2892.5652919930321</v>
      </c>
      <c r="AM79" s="416"/>
      <c r="AN79" s="416"/>
      <c r="AO79" s="419"/>
      <c r="AP79" s="258" t="s">
        <v>45</v>
      </c>
      <c r="AQ79" s="258" t="s">
        <v>351</v>
      </c>
      <c r="AR79" s="417"/>
      <c r="AS79" s="281"/>
      <c r="AT79" s="281"/>
      <c r="AU79" s="417"/>
      <c r="AV79" s="417"/>
      <c r="AW79" s="420"/>
      <c r="AX79" s="417"/>
      <c r="AY79" s="417"/>
      <c r="AZ79" s="417"/>
      <c r="BA79" s="417"/>
      <c r="BB79" s="417"/>
      <c r="BC79" s="417"/>
      <c r="BD79" s="417"/>
      <c r="BE79" s="417"/>
      <c r="BF79" s="417"/>
      <c r="BG79" s="417"/>
      <c r="BH79" s="417"/>
      <c r="BI79" s="417"/>
      <c r="BJ79" s="417"/>
      <c r="BK79" s="417"/>
      <c r="BL79" s="417"/>
      <c r="BM79" s="417"/>
      <c r="BN79" s="417"/>
      <c r="BO79" s="417"/>
      <c r="BP79" s="417"/>
      <c r="BQ79" s="417"/>
      <c r="BR79" s="417"/>
      <c r="BS79" s="417"/>
      <c r="BT79" s="417"/>
      <c r="BU79" s="417"/>
      <c r="BV79" s="417"/>
      <c r="BW79" s="417"/>
      <c r="BX79" s="417"/>
      <c r="BY79" s="417"/>
      <c r="BZ79" s="417"/>
    </row>
    <row r="80" spans="1:78" s="125" customFormat="1" ht="12.75" customHeight="1" x14ac:dyDescent="0.2">
      <c r="A80" s="531">
        <v>39</v>
      </c>
      <c r="B80" s="528" t="str">
        <f>IF(Stammblatt!$L$4=1,'Kalkulation Herstellungskosten'!AP80,'Kalkulation Herstellungskosten'!AQ80)</f>
        <v>Kostümbildassistenz</v>
      </c>
      <c r="C80" s="123">
        <v>0</v>
      </c>
      <c r="D80" s="544"/>
      <c r="E80" s="128"/>
      <c r="F80" s="547">
        <f t="shared" ref="F80:F91" si="44">E80</f>
        <v>0</v>
      </c>
      <c r="G80" s="1159">
        <f>C80*E80+C81*E81</f>
        <v>0</v>
      </c>
      <c r="H80" s="124">
        <f>IF(Stammblatt!$I$9=TRUE,Kollektivvertrag!$C$59,Kollektivvertrag!C45)</f>
        <v>1124.5670194089989</v>
      </c>
      <c r="I80" s="1163"/>
      <c r="J80" s="817"/>
      <c r="K80" s="817"/>
      <c r="L80" s="815">
        <f>G80*J80</f>
        <v>0</v>
      </c>
      <c r="M80" s="816">
        <f>G80*K80</f>
        <v>0</v>
      </c>
      <c r="N80" s="820" t="str">
        <f t="shared" ref="N80" si="45">IF((L80+M80)&gt;G80,"?","")</f>
        <v/>
      </c>
      <c r="O80" s="1155"/>
      <c r="P80" s="1161"/>
      <c r="Q80" s="1169"/>
      <c r="R80" s="1155"/>
      <c r="S80" s="751"/>
      <c r="T80" s="1155"/>
      <c r="U80" s="1155"/>
      <c r="V80" s="1157">
        <f>SUM(T80:U81)</f>
        <v>0</v>
      </c>
      <c r="W80" s="1157">
        <f>G80-V80</f>
        <v>0</v>
      </c>
      <c r="X80" s="1155"/>
      <c r="Y80" s="1161"/>
      <c r="Z80" s="1169"/>
      <c r="AA80" s="1155"/>
      <c r="AB80" s="391"/>
      <c r="AC80" s="447"/>
      <c r="AD80" s="1153"/>
      <c r="AE80" s="1153"/>
      <c r="AF80" s="1151"/>
      <c r="AG80" s="1159">
        <f>SUM(G80,AD80:AF81)</f>
        <v>0</v>
      </c>
      <c r="AH80" s="414"/>
      <c r="AI80" s="558">
        <f>IF(AJ81=TRUE,H80*0.8,H80)</f>
        <v>1124.5670194089989</v>
      </c>
      <c r="AJ80" s="414"/>
      <c r="AK80" s="416">
        <f t="shared" si="36"/>
        <v>1349.4804232907986</v>
      </c>
      <c r="AL80" s="416">
        <f t="shared" si="37"/>
        <v>1461.9371252316987</v>
      </c>
      <c r="AM80" s="416"/>
      <c r="AN80" s="416"/>
      <c r="AO80" s="416"/>
      <c r="AP80" s="258" t="s">
        <v>616</v>
      </c>
      <c r="AQ80" s="258" t="s">
        <v>333</v>
      </c>
      <c r="AR80" s="417"/>
      <c r="AS80" s="281"/>
      <c r="AT80" s="281"/>
      <c r="AU80" s="417"/>
      <c r="AV80" s="417"/>
      <c r="AW80" s="417"/>
      <c r="AX80" s="417"/>
      <c r="AY80" s="417"/>
      <c r="AZ80" s="417"/>
      <c r="BA80" s="417"/>
      <c r="BB80" s="417"/>
      <c r="BC80" s="417"/>
      <c r="BD80" s="417"/>
      <c r="BE80" s="417"/>
      <c r="BF80" s="417"/>
      <c r="BG80" s="417"/>
      <c r="BH80" s="417"/>
      <c r="BI80" s="417"/>
      <c r="BJ80" s="417"/>
      <c r="BK80" s="417"/>
      <c r="BL80" s="417"/>
      <c r="BM80" s="417"/>
      <c r="BN80" s="417"/>
      <c r="BO80" s="417"/>
      <c r="BP80" s="417"/>
      <c r="BQ80" s="417"/>
      <c r="BR80" s="417"/>
      <c r="BS80" s="417"/>
      <c r="BT80" s="417"/>
      <c r="BU80" s="417"/>
      <c r="BV80" s="417"/>
      <c r="BW80" s="417"/>
      <c r="BX80" s="417"/>
      <c r="BY80" s="417"/>
      <c r="BZ80" s="417"/>
    </row>
    <row r="81" spans="1:78" s="125" customFormat="1" ht="12.75" customHeight="1" x14ac:dyDescent="0.2">
      <c r="A81" s="529"/>
      <c r="B81" s="530" t="str">
        <f>IF(Stammblatt!$L$4=1,'Kalkulation Herstellungskosten'!AP81,'Kalkulation Herstellungskosten'!AQ81)</f>
        <v xml:space="preserve">Wochenpauschale (§ 7 KV) </v>
      </c>
      <c r="C81" s="118">
        <v>0</v>
      </c>
      <c r="D81" s="545"/>
      <c r="E81" s="119"/>
      <c r="F81" s="548">
        <f t="shared" si="44"/>
        <v>0</v>
      </c>
      <c r="G81" s="1160"/>
      <c r="H81" s="120">
        <f>IF(Stammblatt!$I$9=TRUE,Kollektivvertrag!$E$59,Kollektivvertrag!E45)</f>
        <v>1557.5253218814635</v>
      </c>
      <c r="I81" s="1164"/>
      <c r="J81" s="554"/>
      <c r="K81" s="555"/>
      <c r="L81" s="492"/>
      <c r="M81" s="492"/>
      <c r="N81" s="445"/>
      <c r="O81" s="1156"/>
      <c r="P81" s="1162"/>
      <c r="Q81" s="1170"/>
      <c r="R81" s="1156"/>
      <c r="S81" s="751"/>
      <c r="T81" s="1156"/>
      <c r="U81" s="1156"/>
      <c r="V81" s="1158"/>
      <c r="W81" s="1158"/>
      <c r="X81" s="1156"/>
      <c r="Y81" s="1162"/>
      <c r="Z81" s="1170"/>
      <c r="AA81" s="1156"/>
      <c r="AB81" s="391"/>
      <c r="AC81" s="447"/>
      <c r="AD81" s="1154"/>
      <c r="AE81" s="1154"/>
      <c r="AF81" s="1152"/>
      <c r="AG81" s="1160"/>
      <c r="AH81" s="414"/>
      <c r="AI81" s="558">
        <f>IF(AJ81=TRUE,H81*0.8,H81)</f>
        <v>1557.5253218814635</v>
      </c>
      <c r="AJ81" s="414" t="b">
        <v>0</v>
      </c>
      <c r="AK81" s="416">
        <f t="shared" si="36"/>
        <v>1869.0303862577562</v>
      </c>
      <c r="AL81" s="416">
        <f t="shared" si="37"/>
        <v>2024.7829184459026</v>
      </c>
      <c r="AM81" s="416"/>
      <c r="AN81" s="416"/>
      <c r="AO81" s="419"/>
      <c r="AP81" s="258" t="s">
        <v>45</v>
      </c>
      <c r="AQ81" s="258" t="s">
        <v>351</v>
      </c>
      <c r="AR81" s="417"/>
      <c r="AS81" s="281"/>
      <c r="AT81" s="281"/>
      <c r="AU81" s="417"/>
      <c r="AV81" s="417"/>
      <c r="AW81" s="420"/>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17"/>
      <c r="BU81" s="417"/>
      <c r="BV81" s="417"/>
      <c r="BW81" s="417"/>
      <c r="BX81" s="417"/>
      <c r="BY81" s="417"/>
      <c r="BZ81" s="417"/>
    </row>
    <row r="82" spans="1:78" s="125" customFormat="1" ht="12.75" customHeight="1" x14ac:dyDescent="0.2">
      <c r="A82" s="531">
        <v>40</v>
      </c>
      <c r="B82" s="528" t="str">
        <f>IF(Stammblatt!$L$4=1,'Kalkulation Herstellungskosten'!AP82,'Kalkulation Herstellungskosten'!AQ82)</f>
        <v>Garderobe</v>
      </c>
      <c r="C82" s="123">
        <v>0</v>
      </c>
      <c r="D82" s="544"/>
      <c r="E82" s="128"/>
      <c r="F82" s="547">
        <f t="shared" si="44"/>
        <v>0</v>
      </c>
      <c r="G82" s="1159">
        <f>C82*E82+C83*E83</f>
        <v>0</v>
      </c>
      <c r="H82" s="124">
        <f>IF(Stammblatt!$I$9=TRUE,Kollektivvertrag!$C$59,Kollektivvertrag!C46)</f>
        <v>957.84193427585626</v>
      </c>
      <c r="I82" s="1163"/>
      <c r="J82" s="817"/>
      <c r="K82" s="817"/>
      <c r="L82" s="815">
        <f>G82*J82</f>
        <v>0</v>
      </c>
      <c r="M82" s="816">
        <f>G82*K82</f>
        <v>0</v>
      </c>
      <c r="N82" s="820" t="str">
        <f t="shared" ref="N82" si="46">IF((L82+M82)&gt;G82,"?","")</f>
        <v/>
      </c>
      <c r="O82" s="1155"/>
      <c r="P82" s="1161"/>
      <c r="Q82" s="1169"/>
      <c r="R82" s="1155"/>
      <c r="S82" s="751"/>
      <c r="T82" s="1155"/>
      <c r="U82" s="1155"/>
      <c r="V82" s="1157">
        <f>SUM(T82:U83)</f>
        <v>0</v>
      </c>
      <c r="W82" s="1157">
        <f>G82-V82</f>
        <v>0</v>
      </c>
      <c r="X82" s="1155"/>
      <c r="Y82" s="1161"/>
      <c r="Z82" s="1169"/>
      <c r="AA82" s="1155"/>
      <c r="AB82" s="391"/>
      <c r="AC82" s="447"/>
      <c r="AD82" s="1153"/>
      <c r="AE82" s="1153"/>
      <c r="AF82" s="1151"/>
      <c r="AG82" s="1159">
        <f>SUM(G82,AD82:AF83)</f>
        <v>0</v>
      </c>
      <c r="AH82" s="414"/>
      <c r="AI82" s="558">
        <f>IF(AJ83=TRUE,H82*0.8,H82)</f>
        <v>957.84193427585626</v>
      </c>
      <c r="AJ82" s="414"/>
      <c r="AK82" s="416">
        <f t="shared" si="36"/>
        <v>1149.4103211310276</v>
      </c>
      <c r="AL82" s="416">
        <f t="shared" si="37"/>
        <v>1245.1945145586133</v>
      </c>
      <c r="AM82" s="416"/>
      <c r="AN82" s="416"/>
      <c r="AO82" s="416"/>
      <c r="AP82" s="258" t="s">
        <v>553</v>
      </c>
      <c r="AQ82" s="258" t="s">
        <v>334</v>
      </c>
      <c r="AR82" s="417"/>
      <c r="AS82" s="281"/>
      <c r="AT82" s="281"/>
      <c r="AU82" s="417"/>
      <c r="AV82" s="417"/>
      <c r="AW82" s="417"/>
      <c r="AX82" s="417"/>
      <c r="AY82" s="417"/>
      <c r="AZ82" s="417"/>
      <c r="BA82" s="417"/>
      <c r="BB82" s="417"/>
      <c r="BC82" s="417"/>
      <c r="BD82" s="417"/>
      <c r="BE82" s="417"/>
      <c r="BF82" s="417"/>
      <c r="BG82" s="417"/>
      <c r="BH82" s="417"/>
      <c r="BI82" s="417"/>
      <c r="BJ82" s="417"/>
      <c r="BK82" s="417"/>
      <c r="BL82" s="417"/>
      <c r="BM82" s="417"/>
      <c r="BN82" s="417"/>
      <c r="BO82" s="417"/>
      <c r="BP82" s="417"/>
      <c r="BQ82" s="417"/>
      <c r="BR82" s="417"/>
      <c r="BS82" s="417"/>
      <c r="BT82" s="417"/>
      <c r="BU82" s="417"/>
      <c r="BV82" s="417"/>
      <c r="BW82" s="417"/>
      <c r="BX82" s="417"/>
      <c r="BY82" s="417"/>
      <c r="BZ82" s="417"/>
    </row>
    <row r="83" spans="1:78" s="125" customFormat="1" ht="12.75" customHeight="1" x14ac:dyDescent="0.2">
      <c r="A83" s="529"/>
      <c r="B83" s="530" t="str">
        <f>IF(Stammblatt!$L$4=1,'Kalkulation Herstellungskosten'!AP83,'Kalkulation Herstellungskosten'!AQ83)</f>
        <v xml:space="preserve">Wochenpauschale (§ 7 KV) </v>
      </c>
      <c r="C83" s="118">
        <v>0</v>
      </c>
      <c r="D83" s="545"/>
      <c r="E83" s="119"/>
      <c r="F83" s="548">
        <f t="shared" si="44"/>
        <v>0</v>
      </c>
      <c r="G83" s="1160"/>
      <c r="H83" s="120">
        <f>IF(Stammblatt!$I$9=TRUE,Kollektivvertrag!$E$59,Kollektivvertrag!E46)</f>
        <v>1326.6110789720608</v>
      </c>
      <c r="I83" s="1164"/>
      <c r="J83" s="554"/>
      <c r="K83" s="555"/>
      <c r="L83" s="492"/>
      <c r="M83" s="492"/>
      <c r="N83" s="445"/>
      <c r="O83" s="1156"/>
      <c r="P83" s="1162"/>
      <c r="Q83" s="1170"/>
      <c r="R83" s="1156"/>
      <c r="S83" s="751"/>
      <c r="T83" s="1156"/>
      <c r="U83" s="1156"/>
      <c r="V83" s="1158"/>
      <c r="W83" s="1158"/>
      <c r="X83" s="1156"/>
      <c r="Y83" s="1162"/>
      <c r="Z83" s="1170"/>
      <c r="AA83" s="1156"/>
      <c r="AB83" s="391"/>
      <c r="AC83" s="447"/>
      <c r="AD83" s="1154"/>
      <c r="AE83" s="1154"/>
      <c r="AF83" s="1152"/>
      <c r="AG83" s="1160"/>
      <c r="AH83" s="414"/>
      <c r="AI83" s="558">
        <f>IF(AJ83=TRUE,H83*0.8,H83)</f>
        <v>1326.6110789720608</v>
      </c>
      <c r="AJ83" s="414" t="b">
        <v>0</v>
      </c>
      <c r="AK83" s="416">
        <f t="shared" si="36"/>
        <v>1591.933294766473</v>
      </c>
      <c r="AL83" s="416">
        <f t="shared" si="37"/>
        <v>1724.5944026636791</v>
      </c>
      <c r="AM83" s="416"/>
      <c r="AN83" s="416"/>
      <c r="AO83" s="419"/>
      <c r="AP83" s="258" t="s">
        <v>45</v>
      </c>
      <c r="AQ83" s="258" t="s">
        <v>351</v>
      </c>
      <c r="AR83" s="417"/>
      <c r="AS83" s="281"/>
      <c r="AT83" s="281"/>
      <c r="AU83" s="417"/>
      <c r="AV83" s="417"/>
      <c r="AW83" s="420"/>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row>
    <row r="84" spans="1:78" s="125" customFormat="1" ht="12.75" customHeight="1" x14ac:dyDescent="0.2">
      <c r="A84" s="531">
        <v>41</v>
      </c>
      <c r="B84" s="528" t="str">
        <f>IF(Stammblatt!$L$4=1,'Kalkulation Herstellungskosten'!AP84,'Kalkulation Herstellungskosten'!AQ84)</f>
        <v>Garderobe</v>
      </c>
      <c r="C84" s="123">
        <v>0</v>
      </c>
      <c r="D84" s="544"/>
      <c r="E84" s="128"/>
      <c r="F84" s="547">
        <f t="shared" si="44"/>
        <v>0</v>
      </c>
      <c r="G84" s="1159">
        <f>C84*E84+C85*E85</f>
        <v>0</v>
      </c>
      <c r="H84" s="124">
        <f>IF(Stammblatt!$I$9=TRUE,Kollektivvertrag!$C$59,Kollektivvertrag!C46)</f>
        <v>957.84193427585626</v>
      </c>
      <c r="I84" s="1163"/>
      <c r="J84" s="817"/>
      <c r="K84" s="817"/>
      <c r="L84" s="815">
        <f>G84*J84</f>
        <v>0</v>
      </c>
      <c r="M84" s="816">
        <f>G84*K84</f>
        <v>0</v>
      </c>
      <c r="N84" s="820" t="str">
        <f t="shared" ref="N84" si="47">IF((L84+M84)&gt;G84,"?","")</f>
        <v/>
      </c>
      <c r="O84" s="1155"/>
      <c r="P84" s="1161"/>
      <c r="Q84" s="1169"/>
      <c r="R84" s="1155"/>
      <c r="S84" s="751"/>
      <c r="T84" s="1155"/>
      <c r="U84" s="1155"/>
      <c r="V84" s="1157">
        <f>SUM(T84:U85)</f>
        <v>0</v>
      </c>
      <c r="W84" s="1157">
        <f>G84-V84</f>
        <v>0</v>
      </c>
      <c r="X84" s="1155"/>
      <c r="Y84" s="1161"/>
      <c r="Z84" s="1169"/>
      <c r="AA84" s="1155"/>
      <c r="AB84" s="391"/>
      <c r="AC84" s="447"/>
      <c r="AD84" s="1153"/>
      <c r="AE84" s="1153"/>
      <c r="AF84" s="1151"/>
      <c r="AG84" s="1159">
        <f>SUM(G84,AD84:AF85)</f>
        <v>0</v>
      </c>
      <c r="AH84" s="414"/>
      <c r="AI84" s="558">
        <f>IF(AJ85=TRUE,H84*0.8,H84)</f>
        <v>957.84193427585626</v>
      </c>
      <c r="AJ84" s="414"/>
      <c r="AK84" s="416">
        <f t="shared" si="36"/>
        <v>1149.4103211310276</v>
      </c>
      <c r="AL84" s="416">
        <f t="shared" si="37"/>
        <v>1245.1945145586133</v>
      </c>
      <c r="AM84" s="416"/>
      <c r="AN84" s="416"/>
      <c r="AO84" s="416"/>
      <c r="AP84" s="258" t="s">
        <v>553</v>
      </c>
      <c r="AQ84" s="258" t="s">
        <v>334</v>
      </c>
      <c r="AR84" s="417"/>
      <c r="AS84" s="281"/>
      <c r="AT84" s="281"/>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row>
    <row r="85" spans="1:78" s="125" customFormat="1" ht="12.75" customHeight="1" x14ac:dyDescent="0.2">
      <c r="A85" s="529"/>
      <c r="B85" s="530" t="str">
        <f>IF(Stammblatt!$L$4=1,'Kalkulation Herstellungskosten'!AP85,'Kalkulation Herstellungskosten'!AQ85)</f>
        <v xml:space="preserve">Wochenpauschale (§ 7 KV) </v>
      </c>
      <c r="C85" s="118">
        <v>0</v>
      </c>
      <c r="D85" s="545"/>
      <c r="E85" s="119"/>
      <c r="F85" s="548">
        <f t="shared" si="44"/>
        <v>0</v>
      </c>
      <c r="G85" s="1160"/>
      <c r="H85" s="120">
        <f>IF(Stammblatt!$I$9=TRUE,Kollektivvertrag!$E$59,Kollektivvertrag!E46)</f>
        <v>1326.6110789720608</v>
      </c>
      <c r="I85" s="1164"/>
      <c r="J85" s="554"/>
      <c r="K85" s="555"/>
      <c r="L85" s="492"/>
      <c r="M85" s="492"/>
      <c r="N85" s="445"/>
      <c r="O85" s="1156"/>
      <c r="P85" s="1162"/>
      <c r="Q85" s="1170"/>
      <c r="R85" s="1156"/>
      <c r="S85" s="751"/>
      <c r="T85" s="1156"/>
      <c r="U85" s="1156"/>
      <c r="V85" s="1158"/>
      <c r="W85" s="1158"/>
      <c r="X85" s="1156"/>
      <c r="Y85" s="1162"/>
      <c r="Z85" s="1170"/>
      <c r="AA85" s="1156"/>
      <c r="AB85" s="391"/>
      <c r="AC85" s="447"/>
      <c r="AD85" s="1154"/>
      <c r="AE85" s="1154"/>
      <c r="AF85" s="1152"/>
      <c r="AG85" s="1160"/>
      <c r="AH85" s="414"/>
      <c r="AI85" s="558">
        <f>IF(AJ85=TRUE,H85*0.8,H85)</f>
        <v>1326.6110789720608</v>
      </c>
      <c r="AJ85" s="414" t="b">
        <v>0</v>
      </c>
      <c r="AK85" s="416">
        <f t="shared" si="36"/>
        <v>1591.933294766473</v>
      </c>
      <c r="AL85" s="416">
        <f t="shared" si="37"/>
        <v>1724.5944026636791</v>
      </c>
      <c r="AM85" s="416"/>
      <c r="AN85" s="416"/>
      <c r="AO85" s="419"/>
      <c r="AP85" s="258" t="s">
        <v>45</v>
      </c>
      <c r="AQ85" s="258" t="s">
        <v>351</v>
      </c>
      <c r="AR85" s="417"/>
      <c r="AS85" s="281"/>
      <c r="AT85" s="281"/>
      <c r="AU85" s="417"/>
      <c r="AV85" s="417"/>
      <c r="AW85" s="420"/>
      <c r="AX85" s="417"/>
      <c r="AY85" s="417"/>
      <c r="AZ85" s="417"/>
      <c r="BA85" s="417"/>
      <c r="BB85" s="417"/>
      <c r="BC85" s="417"/>
      <c r="BD85" s="417"/>
      <c r="BE85" s="417"/>
      <c r="BF85" s="417"/>
      <c r="BG85" s="417"/>
      <c r="BH85" s="417"/>
      <c r="BI85" s="417"/>
      <c r="BJ85" s="417"/>
      <c r="BK85" s="417"/>
      <c r="BL85" s="417"/>
      <c r="BM85" s="417"/>
      <c r="BN85" s="417"/>
      <c r="BO85" s="417"/>
      <c r="BP85" s="417"/>
      <c r="BQ85" s="417"/>
      <c r="BR85" s="417"/>
      <c r="BS85" s="417"/>
      <c r="BT85" s="417"/>
      <c r="BU85" s="417"/>
      <c r="BV85" s="417"/>
      <c r="BW85" s="417"/>
      <c r="BX85" s="417"/>
      <c r="BY85" s="417"/>
      <c r="BZ85" s="417"/>
    </row>
    <row r="86" spans="1:78" s="125" customFormat="1" ht="12.75" customHeight="1" x14ac:dyDescent="0.2">
      <c r="A86" s="531">
        <v>42</v>
      </c>
      <c r="B86" s="528" t="str">
        <f>IF(Stammblatt!$L$4=1,'Kalkulation Herstellungskosten'!AP86,'Kalkulation Herstellungskosten'!AQ86)</f>
        <v>Garderobenhilfe</v>
      </c>
      <c r="C86" s="123">
        <v>0</v>
      </c>
      <c r="D86" s="544"/>
      <c r="E86" s="128"/>
      <c r="F86" s="547">
        <f t="shared" si="44"/>
        <v>0</v>
      </c>
      <c r="G86" s="1159">
        <f>C86*E86+C87*E87</f>
        <v>0</v>
      </c>
      <c r="H86" s="124">
        <f>IF(Stammblatt!$I$9=TRUE,Kollektivvertrag!$C$59,Kollektivvertrag!C48)</f>
        <v>748.53725929441623</v>
      </c>
      <c r="I86" s="1163"/>
      <c r="J86" s="817"/>
      <c r="K86" s="817"/>
      <c r="L86" s="815">
        <f>G86*J86</f>
        <v>0</v>
      </c>
      <c r="M86" s="816">
        <f>G86*K86</f>
        <v>0</v>
      </c>
      <c r="N86" s="820" t="str">
        <f t="shared" ref="N86" si="48">IF((L86+M86)&gt;G86,"?","")</f>
        <v/>
      </c>
      <c r="O86" s="1155"/>
      <c r="P86" s="1161"/>
      <c r="Q86" s="1169"/>
      <c r="R86" s="1155"/>
      <c r="S86" s="751"/>
      <c r="T86" s="1155"/>
      <c r="U86" s="1155"/>
      <c r="V86" s="1157">
        <f>SUM(T86:U87)</f>
        <v>0</v>
      </c>
      <c r="W86" s="1157">
        <f>G86-V86</f>
        <v>0</v>
      </c>
      <c r="X86" s="1155"/>
      <c r="Y86" s="1161"/>
      <c r="Z86" s="1169"/>
      <c r="AA86" s="1155"/>
      <c r="AB86" s="391"/>
      <c r="AC86" s="447"/>
      <c r="AD86" s="1153"/>
      <c r="AE86" s="1153"/>
      <c r="AF86" s="1151"/>
      <c r="AG86" s="1159">
        <f>SUM(G86,AD86:AF87)</f>
        <v>0</v>
      </c>
      <c r="AH86" s="414"/>
      <c r="AI86" s="558">
        <f>IF(AJ87=TRUE,H86*0.8,H86)</f>
        <v>748.53725929441623</v>
      </c>
      <c r="AJ86" s="414"/>
      <c r="AK86" s="416">
        <f t="shared" si="36"/>
        <v>898.24471115329948</v>
      </c>
      <c r="AL86" s="416">
        <f t="shared" si="37"/>
        <v>973.09843708274116</v>
      </c>
      <c r="AM86" s="416"/>
      <c r="AN86" s="416"/>
      <c r="AO86" s="416"/>
      <c r="AP86" s="258" t="s">
        <v>127</v>
      </c>
      <c r="AQ86" s="258" t="s">
        <v>335</v>
      </c>
      <c r="AR86" s="417"/>
      <c r="AS86" s="281"/>
      <c r="AT86" s="281"/>
      <c r="AU86" s="417"/>
      <c r="AV86" s="417"/>
      <c r="AW86" s="417"/>
      <c r="AX86" s="417"/>
      <c r="AY86" s="417"/>
      <c r="AZ86" s="417"/>
      <c r="BA86" s="417"/>
      <c r="BB86" s="417"/>
      <c r="BC86" s="417"/>
      <c r="BD86" s="417"/>
      <c r="BE86" s="417"/>
      <c r="BF86" s="417"/>
      <c r="BG86" s="417"/>
      <c r="BH86" s="417"/>
      <c r="BI86" s="417"/>
      <c r="BJ86" s="417"/>
      <c r="BK86" s="417"/>
      <c r="BL86" s="417"/>
      <c r="BM86" s="417"/>
      <c r="BN86" s="417"/>
      <c r="BO86" s="417"/>
      <c r="BP86" s="417"/>
      <c r="BQ86" s="417"/>
      <c r="BR86" s="417"/>
      <c r="BS86" s="417"/>
      <c r="BT86" s="417"/>
      <c r="BU86" s="417"/>
      <c r="BV86" s="417"/>
      <c r="BW86" s="417"/>
      <c r="BX86" s="417"/>
      <c r="BY86" s="417"/>
      <c r="BZ86" s="417"/>
    </row>
    <row r="87" spans="1:78" s="125" customFormat="1" ht="12.75" customHeight="1" x14ac:dyDescent="0.2">
      <c r="A87" s="529"/>
      <c r="B87" s="530" t="str">
        <f>IF(Stammblatt!$L$4=1,'Kalkulation Herstellungskosten'!AP87,'Kalkulation Herstellungskosten'!AQ87)</f>
        <v xml:space="preserve">Wochenpauschale (§ 7 KV) </v>
      </c>
      <c r="C87" s="118">
        <v>0</v>
      </c>
      <c r="D87" s="545"/>
      <c r="E87" s="119"/>
      <c r="F87" s="548">
        <f t="shared" si="44"/>
        <v>0</v>
      </c>
      <c r="G87" s="1160"/>
      <c r="H87" s="120">
        <f>IF(Stammblatt!$I$9=TRUE,Kollektivvertrag!$E$59,Kollektivvertrag!E48)</f>
        <v>1036.7241041227664</v>
      </c>
      <c r="I87" s="1164"/>
      <c r="J87" s="554"/>
      <c r="K87" s="555"/>
      <c r="L87" s="492"/>
      <c r="M87" s="492"/>
      <c r="N87" s="445"/>
      <c r="O87" s="1156"/>
      <c r="P87" s="1162"/>
      <c r="Q87" s="1170"/>
      <c r="R87" s="1156"/>
      <c r="S87" s="751"/>
      <c r="T87" s="1156"/>
      <c r="U87" s="1156"/>
      <c r="V87" s="1158"/>
      <c r="W87" s="1158"/>
      <c r="X87" s="1156"/>
      <c r="Y87" s="1162"/>
      <c r="Z87" s="1170"/>
      <c r="AA87" s="1156"/>
      <c r="AB87" s="391"/>
      <c r="AC87" s="447"/>
      <c r="AD87" s="1154"/>
      <c r="AE87" s="1154"/>
      <c r="AF87" s="1152"/>
      <c r="AG87" s="1160"/>
      <c r="AH87" s="414"/>
      <c r="AI87" s="558">
        <f>IF(AJ87=TRUE,H87*0.8,H87)</f>
        <v>1036.7241041227664</v>
      </c>
      <c r="AJ87" s="414" t="b">
        <v>0</v>
      </c>
      <c r="AK87" s="416">
        <f t="shared" si="36"/>
        <v>1244.0689249473196</v>
      </c>
      <c r="AL87" s="416">
        <f t="shared" si="37"/>
        <v>1347.7413353595964</v>
      </c>
      <c r="AM87" s="416"/>
      <c r="AN87" s="416"/>
      <c r="AO87" s="419"/>
      <c r="AP87" s="258" t="s">
        <v>45</v>
      </c>
      <c r="AQ87" s="258" t="s">
        <v>351</v>
      </c>
      <c r="AR87" s="417"/>
      <c r="AS87" s="281"/>
      <c r="AT87" s="281"/>
      <c r="AU87" s="417"/>
      <c r="AV87" s="417"/>
      <c r="AW87" s="420"/>
      <c r="AX87" s="417"/>
      <c r="AY87" s="417"/>
      <c r="AZ87" s="417"/>
      <c r="BA87" s="417"/>
      <c r="BB87" s="417"/>
      <c r="BC87" s="417"/>
      <c r="BD87" s="417"/>
      <c r="BE87" s="417"/>
      <c r="BF87" s="417"/>
      <c r="BG87" s="417"/>
      <c r="BH87" s="417"/>
      <c r="BI87" s="417"/>
      <c r="BJ87" s="417"/>
      <c r="BK87" s="417"/>
      <c r="BL87" s="417"/>
      <c r="BM87" s="417"/>
      <c r="BN87" s="417"/>
      <c r="BO87" s="417"/>
      <c r="BP87" s="417"/>
      <c r="BQ87" s="417"/>
      <c r="BR87" s="417"/>
      <c r="BS87" s="417"/>
      <c r="BT87" s="417"/>
      <c r="BU87" s="417"/>
      <c r="BV87" s="417"/>
      <c r="BW87" s="417"/>
      <c r="BX87" s="417"/>
      <c r="BY87" s="417"/>
      <c r="BZ87" s="417"/>
    </row>
    <row r="88" spans="1:78" s="125" customFormat="1" ht="12.75" customHeight="1" x14ac:dyDescent="0.2">
      <c r="A88" s="531">
        <v>43</v>
      </c>
      <c r="B88" s="528" t="str">
        <f>IF(Stammblatt!$L$4=1,'Kalkulation Herstellungskosten'!AP88,'Kalkulation Herstellungskosten'!AQ88)</f>
        <v>Außenrequisite</v>
      </c>
      <c r="C88" s="123">
        <v>0</v>
      </c>
      <c r="D88" s="544"/>
      <c r="E88" s="128"/>
      <c r="F88" s="547">
        <f t="shared" si="44"/>
        <v>0</v>
      </c>
      <c r="G88" s="1159">
        <f>C88*E88+C89*E89</f>
        <v>0</v>
      </c>
      <c r="H88" s="124">
        <f>IF(Stammblatt!$I$9=TRUE,Kollektivvertrag!$C$59,Kollektivvertrag!C42)</f>
        <v>1227.4085171046363</v>
      </c>
      <c r="I88" s="1163"/>
      <c r="J88" s="817"/>
      <c r="K88" s="817"/>
      <c r="L88" s="815">
        <f>G88*J88</f>
        <v>0</v>
      </c>
      <c r="M88" s="816">
        <f>G88*K88</f>
        <v>0</v>
      </c>
      <c r="N88" s="820" t="str">
        <f t="shared" ref="N88" si="49">IF((L88+M88)&gt;G88,"?","")</f>
        <v/>
      </c>
      <c r="O88" s="1155"/>
      <c r="P88" s="1161"/>
      <c r="Q88" s="1169"/>
      <c r="R88" s="1155"/>
      <c r="S88" s="751"/>
      <c r="T88" s="1155"/>
      <c r="U88" s="1155"/>
      <c r="V88" s="1157">
        <f>SUM(T88:U89)</f>
        <v>0</v>
      </c>
      <c r="W88" s="1157">
        <f>G88-V88</f>
        <v>0</v>
      </c>
      <c r="X88" s="1155"/>
      <c r="Y88" s="1161"/>
      <c r="Z88" s="1169"/>
      <c r="AA88" s="1155"/>
      <c r="AB88" s="391"/>
      <c r="AC88" s="447"/>
      <c r="AD88" s="1153"/>
      <c r="AE88" s="1153"/>
      <c r="AF88" s="1151"/>
      <c r="AG88" s="1159">
        <f>SUM(G88,AD88:AF89)</f>
        <v>0</v>
      </c>
      <c r="AH88" s="414"/>
      <c r="AI88" s="558">
        <f>IF(AJ89=TRUE,H88*0.8,H88)</f>
        <v>1227.4085171046363</v>
      </c>
      <c r="AJ88" s="414"/>
      <c r="AK88" s="416">
        <f t="shared" si="36"/>
        <v>1472.8902205255636</v>
      </c>
      <c r="AL88" s="416">
        <f t="shared" si="37"/>
        <v>1595.6310722360272</v>
      </c>
      <c r="AM88" s="416"/>
      <c r="AN88" s="416"/>
      <c r="AO88" s="416"/>
      <c r="AP88" s="258" t="s">
        <v>613</v>
      </c>
      <c r="AQ88" s="258" t="s">
        <v>356</v>
      </c>
      <c r="AR88" s="417"/>
      <c r="AS88" s="281"/>
      <c r="AT88" s="281"/>
      <c r="AU88" s="417"/>
      <c r="AV88" s="417"/>
      <c r="AW88" s="417"/>
      <c r="AX88" s="417"/>
      <c r="AY88" s="417"/>
      <c r="AZ88" s="417"/>
      <c r="BA88" s="417"/>
      <c r="BB88" s="417"/>
      <c r="BC88" s="417"/>
      <c r="BD88" s="417"/>
      <c r="BE88" s="417"/>
      <c r="BF88" s="417"/>
      <c r="BG88" s="417"/>
      <c r="BH88" s="417"/>
      <c r="BI88" s="417"/>
      <c r="BJ88" s="417"/>
      <c r="BK88" s="417"/>
      <c r="BL88" s="417"/>
      <c r="BM88" s="417"/>
      <c r="BN88" s="417"/>
      <c r="BO88" s="417"/>
      <c r="BP88" s="417"/>
      <c r="BQ88" s="417"/>
      <c r="BR88" s="417"/>
      <c r="BS88" s="417"/>
      <c r="BT88" s="417"/>
      <c r="BU88" s="417"/>
      <c r="BV88" s="417"/>
      <c r="BW88" s="417"/>
      <c r="BX88" s="417"/>
      <c r="BY88" s="417"/>
      <c r="BZ88" s="417"/>
    </row>
    <row r="89" spans="1:78" s="125" customFormat="1" ht="12.75" customHeight="1" x14ac:dyDescent="0.2">
      <c r="A89" s="529"/>
      <c r="B89" s="530" t="str">
        <f>IF(Stammblatt!$L$4=1,'Kalkulation Herstellungskosten'!AP89,'Kalkulation Herstellungskosten'!AQ89)</f>
        <v xml:space="preserve">Wochenpauschale (§ 7 KV) </v>
      </c>
      <c r="C89" s="118">
        <v>0</v>
      </c>
      <c r="D89" s="545"/>
      <c r="E89" s="119"/>
      <c r="F89" s="548">
        <f t="shared" si="44"/>
        <v>0</v>
      </c>
      <c r="G89" s="1160"/>
      <c r="H89" s="120">
        <f>IF(Stammblatt!$I$9=TRUE,Kollektivvertrag!$E$59,Kollektivvertrag!E42)</f>
        <v>1699.9607961899212</v>
      </c>
      <c r="I89" s="1164"/>
      <c r="J89" s="554"/>
      <c r="K89" s="555"/>
      <c r="L89" s="492"/>
      <c r="M89" s="492"/>
      <c r="N89" s="445"/>
      <c r="O89" s="1156"/>
      <c r="P89" s="1162"/>
      <c r="Q89" s="1170"/>
      <c r="R89" s="1156"/>
      <c r="S89" s="751"/>
      <c r="T89" s="1156"/>
      <c r="U89" s="1156"/>
      <c r="V89" s="1158"/>
      <c r="W89" s="1158"/>
      <c r="X89" s="1156"/>
      <c r="Y89" s="1162"/>
      <c r="Z89" s="1170"/>
      <c r="AA89" s="1156"/>
      <c r="AB89" s="391"/>
      <c r="AC89" s="447"/>
      <c r="AD89" s="1154"/>
      <c r="AE89" s="1154"/>
      <c r="AF89" s="1152"/>
      <c r="AG89" s="1160"/>
      <c r="AH89" s="414"/>
      <c r="AI89" s="558">
        <f>IF(AJ89=TRUE,H89*0.8,H89)</f>
        <v>1699.9607961899212</v>
      </c>
      <c r="AJ89" s="414" t="b">
        <v>0</v>
      </c>
      <c r="AK89" s="416">
        <f t="shared" si="36"/>
        <v>2039.9529554279054</v>
      </c>
      <c r="AL89" s="416">
        <f t="shared" si="37"/>
        <v>2209.9490350468977</v>
      </c>
      <c r="AM89" s="416"/>
      <c r="AN89" s="416"/>
      <c r="AO89" s="419"/>
      <c r="AP89" s="258" t="s">
        <v>45</v>
      </c>
      <c r="AQ89" s="258" t="s">
        <v>351</v>
      </c>
      <c r="AR89" s="417"/>
      <c r="AS89" s="281"/>
      <c r="AT89" s="281"/>
      <c r="AU89" s="417"/>
      <c r="AV89" s="417"/>
      <c r="AW89" s="420"/>
      <c r="AX89" s="417"/>
      <c r="AY89" s="417"/>
      <c r="AZ89" s="417"/>
      <c r="BA89" s="417"/>
      <c r="BB89" s="417"/>
      <c r="BC89" s="417"/>
      <c r="BD89" s="41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row>
    <row r="90" spans="1:78" s="125" customFormat="1" ht="12.75" customHeight="1" x14ac:dyDescent="0.2">
      <c r="A90" s="531">
        <v>44</v>
      </c>
      <c r="B90" s="528" t="str">
        <f>IF(Stammblatt!$L$4=1,'Kalkulation Herstellungskosten'!AP90,'Kalkulation Herstellungskosten'!AQ90)</f>
        <v>Innenrequisite</v>
      </c>
      <c r="C90" s="123">
        <v>0</v>
      </c>
      <c r="D90" s="544"/>
      <c r="E90" s="128"/>
      <c r="F90" s="547">
        <f t="shared" si="44"/>
        <v>0</v>
      </c>
      <c r="G90" s="1159">
        <f>C90*E90+C91*E91</f>
        <v>0</v>
      </c>
      <c r="H90" s="124">
        <f>IF(Stammblatt!$I$9=TRUE,Kollektivvertrag!$C$59,Kollektivvertrag!C43)</f>
        <v>1135.6761839634305</v>
      </c>
      <c r="I90" s="1163"/>
      <c r="J90" s="817"/>
      <c r="K90" s="817"/>
      <c r="L90" s="815">
        <f>G90*J90</f>
        <v>0</v>
      </c>
      <c r="M90" s="816">
        <f>G90*K90</f>
        <v>0</v>
      </c>
      <c r="N90" s="820" t="str">
        <f t="shared" ref="N90" si="50">IF((L90+M90)&gt;G90,"?","")</f>
        <v/>
      </c>
      <c r="O90" s="1155"/>
      <c r="P90" s="1161"/>
      <c r="Q90" s="1169"/>
      <c r="R90" s="1155"/>
      <c r="S90" s="751"/>
      <c r="T90" s="1155"/>
      <c r="U90" s="1155"/>
      <c r="V90" s="1157">
        <f>SUM(T90:U91)</f>
        <v>0</v>
      </c>
      <c r="W90" s="1157">
        <f>G90-V90</f>
        <v>0</v>
      </c>
      <c r="X90" s="1155"/>
      <c r="Y90" s="1161"/>
      <c r="Z90" s="1169"/>
      <c r="AA90" s="1155"/>
      <c r="AB90" s="391"/>
      <c r="AC90" s="447"/>
      <c r="AD90" s="1153"/>
      <c r="AE90" s="1153"/>
      <c r="AF90" s="1151"/>
      <c r="AG90" s="1159">
        <f>SUM(G90,AD90:AF91)</f>
        <v>0</v>
      </c>
      <c r="AH90" s="414"/>
      <c r="AI90" s="558">
        <f>IF(AJ91=TRUE,H90*0.8,H90)</f>
        <v>1135.6761839634305</v>
      </c>
      <c r="AJ90" s="414"/>
      <c r="AK90" s="416">
        <f t="shared" si="36"/>
        <v>1362.8114207561166</v>
      </c>
      <c r="AL90" s="416">
        <f t="shared" si="37"/>
        <v>1476.3790391524597</v>
      </c>
      <c r="AM90" s="416"/>
      <c r="AN90" s="416"/>
      <c r="AO90" s="416"/>
      <c r="AP90" s="258" t="s">
        <v>614</v>
      </c>
      <c r="AQ90" s="258" t="s">
        <v>491</v>
      </c>
      <c r="AR90" s="417"/>
      <c r="AS90" s="281"/>
      <c r="AT90" s="281"/>
      <c r="AU90" s="417"/>
      <c r="AV90" s="417"/>
      <c r="AW90" s="417"/>
      <c r="AX90" s="417"/>
      <c r="AY90" s="417"/>
      <c r="AZ90" s="417"/>
      <c r="BA90" s="417"/>
      <c r="BB90" s="417"/>
      <c r="BC90" s="417"/>
      <c r="BD90" s="417"/>
      <c r="BE90" s="417"/>
      <c r="BF90" s="417"/>
      <c r="BG90" s="417"/>
      <c r="BH90" s="417"/>
      <c r="BI90" s="417"/>
      <c r="BJ90" s="417"/>
      <c r="BK90" s="417"/>
      <c r="BL90" s="417"/>
      <c r="BM90" s="417"/>
      <c r="BN90" s="417"/>
      <c r="BO90" s="417"/>
      <c r="BP90" s="417"/>
      <c r="BQ90" s="417"/>
      <c r="BR90" s="417"/>
      <c r="BS90" s="417"/>
      <c r="BT90" s="417"/>
      <c r="BU90" s="417"/>
      <c r="BV90" s="417"/>
      <c r="BW90" s="417"/>
      <c r="BX90" s="417"/>
      <c r="BY90" s="417"/>
      <c r="BZ90" s="417"/>
    </row>
    <row r="91" spans="1:78" s="125" customFormat="1" ht="12.75" customHeight="1" x14ac:dyDescent="0.2">
      <c r="A91" s="529"/>
      <c r="B91" s="530" t="str">
        <f>IF(Stammblatt!$L$4=1,'Kalkulation Herstellungskosten'!AP91,'Kalkulation Herstellungskosten'!AQ91)</f>
        <v xml:space="preserve">Wochenpauschale (§ 7 KV) </v>
      </c>
      <c r="C91" s="118">
        <v>0</v>
      </c>
      <c r="D91" s="545"/>
      <c r="E91" s="119"/>
      <c r="F91" s="548">
        <f t="shared" si="44"/>
        <v>0</v>
      </c>
      <c r="G91" s="1160"/>
      <c r="H91" s="120">
        <f>IF(Stammblatt!$I$9=TRUE,Kollektivvertrag!$E$59,Kollektivvertrag!E43)</f>
        <v>1572.9115147893513</v>
      </c>
      <c r="I91" s="1164"/>
      <c r="J91" s="554"/>
      <c r="K91" s="555"/>
      <c r="L91" s="492"/>
      <c r="M91" s="492"/>
      <c r="N91" s="445"/>
      <c r="O91" s="1156"/>
      <c r="P91" s="1162"/>
      <c r="Q91" s="1170"/>
      <c r="R91" s="1156"/>
      <c r="S91" s="751"/>
      <c r="T91" s="1156"/>
      <c r="U91" s="1156"/>
      <c r="V91" s="1158"/>
      <c r="W91" s="1158"/>
      <c r="X91" s="1156"/>
      <c r="Y91" s="1162"/>
      <c r="Z91" s="1170"/>
      <c r="AA91" s="1156"/>
      <c r="AB91" s="391"/>
      <c r="AC91" s="447"/>
      <c r="AD91" s="1154"/>
      <c r="AE91" s="1154"/>
      <c r="AF91" s="1152"/>
      <c r="AG91" s="1160"/>
      <c r="AH91" s="414"/>
      <c r="AI91" s="558">
        <f>IF(AJ91=TRUE,H91*0.8,H91)</f>
        <v>1572.9115147893513</v>
      </c>
      <c r="AJ91" s="414" t="b">
        <v>0</v>
      </c>
      <c r="AK91" s="416">
        <f t="shared" si="36"/>
        <v>1887.4938177472213</v>
      </c>
      <c r="AL91" s="416">
        <f t="shared" si="37"/>
        <v>2044.7849692261568</v>
      </c>
      <c r="AM91" s="416"/>
      <c r="AN91" s="416"/>
      <c r="AO91" s="419"/>
      <c r="AP91" s="258" t="s">
        <v>45</v>
      </c>
      <c r="AQ91" s="258" t="s">
        <v>351</v>
      </c>
      <c r="AR91" s="417"/>
      <c r="AS91" s="281"/>
      <c r="AT91" s="281"/>
      <c r="AU91" s="417"/>
      <c r="AV91" s="417"/>
      <c r="AW91" s="420"/>
      <c r="AX91" s="417"/>
      <c r="AY91" s="417"/>
      <c r="AZ91" s="417"/>
      <c r="BA91" s="417"/>
      <c r="BB91" s="417"/>
      <c r="BC91" s="417"/>
      <c r="BD91" s="417"/>
      <c r="BE91" s="417"/>
      <c r="BF91" s="417"/>
      <c r="BG91" s="417"/>
      <c r="BH91" s="417"/>
      <c r="BI91" s="417"/>
      <c r="BJ91" s="417"/>
      <c r="BK91" s="417"/>
      <c r="BL91" s="417"/>
      <c r="BM91" s="417"/>
      <c r="BN91" s="417"/>
      <c r="BO91" s="417"/>
      <c r="BP91" s="417"/>
      <c r="BQ91" s="417"/>
      <c r="BR91" s="417"/>
      <c r="BS91" s="417"/>
      <c r="BT91" s="417"/>
      <c r="BU91" s="417"/>
      <c r="BV91" s="417"/>
      <c r="BW91" s="417"/>
      <c r="BX91" s="417"/>
      <c r="BY91" s="417"/>
      <c r="BZ91" s="417"/>
    </row>
    <row r="92" spans="1:78" s="125" customFormat="1" ht="12.75" customHeight="1" x14ac:dyDescent="0.2">
      <c r="A92" s="531">
        <v>45</v>
      </c>
      <c r="B92" s="528" t="str">
        <f>IF(Stammblatt!$L$4=1,'Kalkulation Herstellungskosten'!AP92,'Kalkulation Herstellungskosten'!AQ92)</f>
        <v>Requisitenhilfe</v>
      </c>
      <c r="C92" s="123">
        <v>0</v>
      </c>
      <c r="D92" s="544"/>
      <c r="E92" s="128"/>
      <c r="F92" s="547">
        <f t="shared" ref="F92:F127" si="51">E92</f>
        <v>0</v>
      </c>
      <c r="G92" s="1159">
        <f>C92*E92+C93*E93</f>
        <v>0</v>
      </c>
      <c r="H92" s="124">
        <f>IF(Stammblatt!$I$9=TRUE,Kollektivvertrag!$C$59,Kollektivvertrag!C48)</f>
        <v>748.53725929441623</v>
      </c>
      <c r="I92" s="1163"/>
      <c r="J92" s="817"/>
      <c r="K92" s="817"/>
      <c r="L92" s="815">
        <f>G92*J92</f>
        <v>0</v>
      </c>
      <c r="M92" s="816">
        <f>G92*K92</f>
        <v>0</v>
      </c>
      <c r="N92" s="820" t="str">
        <f t="shared" ref="N92" si="52">IF((L92+M92)&gt;G92,"?","")</f>
        <v/>
      </c>
      <c r="O92" s="1155"/>
      <c r="P92" s="1161"/>
      <c r="Q92" s="1169"/>
      <c r="R92" s="1155"/>
      <c r="S92" s="751"/>
      <c r="T92" s="1155"/>
      <c r="U92" s="1155"/>
      <c r="V92" s="1157">
        <f>SUM(T92:U93)</f>
        <v>0</v>
      </c>
      <c r="W92" s="1157">
        <f>G92-V92</f>
        <v>0</v>
      </c>
      <c r="X92" s="1155"/>
      <c r="Y92" s="1161"/>
      <c r="Z92" s="1169"/>
      <c r="AA92" s="1155"/>
      <c r="AB92" s="391"/>
      <c r="AC92" s="447"/>
      <c r="AD92" s="1153"/>
      <c r="AE92" s="1153"/>
      <c r="AF92" s="1151"/>
      <c r="AG92" s="1159">
        <f>SUM(G92,AD92:AF93)</f>
        <v>0</v>
      </c>
      <c r="AH92" s="414"/>
      <c r="AI92" s="558">
        <f>IF(AJ93=TRUE,H92*0.8,H92)</f>
        <v>748.53725929441623</v>
      </c>
      <c r="AJ92" s="414"/>
      <c r="AK92" s="416">
        <f t="shared" si="36"/>
        <v>898.24471115329948</v>
      </c>
      <c r="AL92" s="416">
        <f t="shared" si="37"/>
        <v>973.09843708274116</v>
      </c>
      <c r="AM92" s="416"/>
      <c r="AN92" s="416"/>
      <c r="AO92" s="416"/>
      <c r="AP92" s="258" t="s">
        <v>126</v>
      </c>
      <c r="AQ92" s="258" t="s">
        <v>357</v>
      </c>
      <c r="AR92" s="417"/>
      <c r="AS92" s="281"/>
      <c r="AT92" s="281"/>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row>
    <row r="93" spans="1:78" s="125" customFormat="1" ht="12.75" customHeight="1" x14ac:dyDescent="0.2">
      <c r="A93" s="529"/>
      <c r="B93" s="530" t="str">
        <f>IF(Stammblatt!$L$4=1,'Kalkulation Herstellungskosten'!AP93,'Kalkulation Herstellungskosten'!AQ93)</f>
        <v xml:space="preserve">Wochenpauschale (§ 7 KV) </v>
      </c>
      <c r="C93" s="118">
        <v>0</v>
      </c>
      <c r="D93" s="545"/>
      <c r="E93" s="119"/>
      <c r="F93" s="548">
        <f t="shared" si="51"/>
        <v>0</v>
      </c>
      <c r="G93" s="1160"/>
      <c r="H93" s="120">
        <f>IF(Stammblatt!$I$9=TRUE,Kollektivvertrag!$E$59,Kollektivvertrag!E48)</f>
        <v>1036.7241041227664</v>
      </c>
      <c r="I93" s="1164"/>
      <c r="J93" s="554"/>
      <c r="K93" s="555"/>
      <c r="L93" s="492"/>
      <c r="M93" s="492"/>
      <c r="N93" s="445"/>
      <c r="O93" s="1156"/>
      <c r="P93" s="1162"/>
      <c r="Q93" s="1170"/>
      <c r="R93" s="1156"/>
      <c r="S93" s="751"/>
      <c r="T93" s="1156"/>
      <c r="U93" s="1156"/>
      <c r="V93" s="1158"/>
      <c r="W93" s="1158"/>
      <c r="X93" s="1156"/>
      <c r="Y93" s="1162"/>
      <c r="Z93" s="1170"/>
      <c r="AA93" s="1156"/>
      <c r="AB93" s="391"/>
      <c r="AC93" s="447"/>
      <c r="AD93" s="1154"/>
      <c r="AE93" s="1154"/>
      <c r="AF93" s="1152"/>
      <c r="AG93" s="1160"/>
      <c r="AH93" s="414"/>
      <c r="AI93" s="558">
        <f>IF(AJ93=TRUE,H93*0.8,H93)</f>
        <v>1036.7241041227664</v>
      </c>
      <c r="AJ93" s="414" t="b">
        <v>0</v>
      </c>
      <c r="AK93" s="416">
        <f t="shared" si="36"/>
        <v>1244.0689249473196</v>
      </c>
      <c r="AL93" s="416">
        <f t="shared" si="37"/>
        <v>1347.7413353595964</v>
      </c>
      <c r="AM93" s="416"/>
      <c r="AN93" s="416"/>
      <c r="AO93" s="419"/>
      <c r="AP93" s="258" t="s">
        <v>45</v>
      </c>
      <c r="AQ93" s="258" t="s">
        <v>351</v>
      </c>
      <c r="AR93" s="417"/>
      <c r="AS93" s="281"/>
      <c r="AT93" s="281"/>
      <c r="AU93" s="417"/>
      <c r="AV93" s="417"/>
      <c r="AW93" s="420"/>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BV93" s="417"/>
      <c r="BW93" s="417"/>
      <c r="BX93" s="417"/>
      <c r="BY93" s="417"/>
      <c r="BZ93" s="417"/>
    </row>
    <row r="94" spans="1:78" s="125" customFormat="1" ht="12.75" customHeight="1" x14ac:dyDescent="0.2">
      <c r="A94" s="531">
        <v>46</v>
      </c>
      <c r="B94" s="528" t="str">
        <f>IF(Stammblatt!$L$4=1,'Kalkulation Herstellungskosten'!AP94,'Kalkulation Herstellungskosten'!AQ94)</f>
        <v>Szenenbild (Filmarchitektur)</v>
      </c>
      <c r="C94" s="123">
        <v>0</v>
      </c>
      <c r="D94" s="544"/>
      <c r="E94" s="128"/>
      <c r="F94" s="547">
        <f t="shared" si="51"/>
        <v>0</v>
      </c>
      <c r="G94" s="1159">
        <f>C94*E94+C95*E95</f>
        <v>0</v>
      </c>
      <c r="H94" s="124">
        <f ca="1">IF(AND(Stammblatt!$I$9=TRUE,GHSTK&lt;=1220000),Kollektivvertrag!$C$59,IF(AND(Stammblatt!$I$9=TRUE,GHSTK&lt;=1570000),Kollektivvertrag!C52/2,Kollektivvertrag!C52))</f>
        <v>1675.8576663574672</v>
      </c>
      <c r="I94" s="1163"/>
      <c r="J94" s="817"/>
      <c r="K94" s="817"/>
      <c r="L94" s="815">
        <f>G94*J94</f>
        <v>0</v>
      </c>
      <c r="M94" s="816">
        <f>G94*K94</f>
        <v>0</v>
      </c>
      <c r="N94" s="820" t="str">
        <f t="shared" ref="N94" si="53">IF((L94+M94)&gt;G94,"?","")</f>
        <v/>
      </c>
      <c r="O94" s="1155"/>
      <c r="P94" s="1161"/>
      <c r="Q94" s="1169"/>
      <c r="R94" s="1155"/>
      <c r="S94" s="751"/>
      <c r="T94" s="1155"/>
      <c r="U94" s="1155"/>
      <c r="V94" s="1157">
        <f>SUM(T94:U95)</f>
        <v>0</v>
      </c>
      <c r="W94" s="1157">
        <f>G94-V94</f>
        <v>0</v>
      </c>
      <c r="X94" s="1155"/>
      <c r="Y94" s="1161"/>
      <c r="Z94" s="1169"/>
      <c r="AA94" s="1155"/>
      <c r="AB94" s="391"/>
      <c r="AC94" s="447"/>
      <c r="AD94" s="1153"/>
      <c r="AE94" s="1153"/>
      <c r="AF94" s="1151"/>
      <c r="AG94" s="1159">
        <f>SUM(G94,AD94:AF95)</f>
        <v>0</v>
      </c>
      <c r="AH94" s="414"/>
      <c r="AI94" s="558">
        <f ca="1">IF(AJ95=TRUE,H94*0.8,H94)</f>
        <v>1675.8576663574672</v>
      </c>
      <c r="AJ94" s="414"/>
      <c r="AK94" s="416">
        <f t="shared" ca="1" si="36"/>
        <v>2011.0291996289607</v>
      </c>
      <c r="AL94" s="416">
        <f t="shared" ca="1" si="37"/>
        <v>2178.6149662647076</v>
      </c>
      <c r="AM94" s="416"/>
      <c r="AN94" s="416"/>
      <c r="AO94" s="416"/>
      <c r="AP94" s="258" t="s">
        <v>643</v>
      </c>
      <c r="AQ94" s="258" t="s">
        <v>370</v>
      </c>
      <c r="AR94" s="417"/>
      <c r="AS94" s="281"/>
      <c r="AT94" s="281"/>
      <c r="AU94" s="417"/>
      <c r="AV94" s="417"/>
      <c r="AW94" s="417"/>
      <c r="AX94" s="417"/>
      <c r="AY94" s="417"/>
      <c r="AZ94" s="417"/>
      <c r="BA94" s="417"/>
      <c r="BB94" s="417"/>
      <c r="BC94" s="417"/>
      <c r="BD94" s="417"/>
      <c r="BE94" s="417"/>
      <c r="BF94" s="417"/>
      <c r="BG94" s="417"/>
      <c r="BH94" s="417"/>
      <c r="BI94" s="417"/>
      <c r="BJ94" s="417"/>
      <c r="BK94" s="417"/>
      <c r="BL94" s="417"/>
      <c r="BM94" s="417"/>
      <c r="BN94" s="417"/>
      <c r="BO94" s="417"/>
      <c r="BP94" s="417"/>
      <c r="BQ94" s="417"/>
      <c r="BR94" s="417"/>
      <c r="BS94" s="417"/>
      <c r="BT94" s="417"/>
      <c r="BU94" s="417"/>
      <c r="BV94" s="417"/>
      <c r="BW94" s="417"/>
      <c r="BX94" s="417"/>
      <c r="BY94" s="417"/>
      <c r="BZ94" s="417"/>
    </row>
    <row r="95" spans="1:78" s="125" customFormat="1" ht="12.75" customHeight="1" x14ac:dyDescent="0.2">
      <c r="A95" s="529"/>
      <c r="B95" s="530" t="str">
        <f>IF(Stammblatt!$L$4=1,'Kalkulation Herstellungskosten'!AP95,'Kalkulation Herstellungskosten'!AQ95)</f>
        <v xml:space="preserve">Wochenpauschale (§ 7 KV) </v>
      </c>
      <c r="C95" s="118">
        <v>0</v>
      </c>
      <c r="D95" s="545"/>
      <c r="E95" s="119"/>
      <c r="F95" s="548">
        <f t="shared" si="51"/>
        <v>0</v>
      </c>
      <c r="G95" s="1160"/>
      <c r="H95" s="120">
        <f ca="1">IF(AND(Stammblatt!$I$9=TRUE,GHSTK&lt;=1220000),Kollektivvertrag!$E$59,IF(AND(Stammblatt!$I$9=TRUE,GHSTK&lt;=1570000),Kollektivvertrag!E52/2,Kollektivvertrag!E52))</f>
        <v>2321.0628679050924</v>
      </c>
      <c r="I95" s="1164"/>
      <c r="J95" s="554"/>
      <c r="K95" s="555"/>
      <c r="L95" s="492"/>
      <c r="M95" s="492"/>
      <c r="N95" s="445"/>
      <c r="O95" s="1156"/>
      <c r="P95" s="1162"/>
      <c r="Q95" s="1170"/>
      <c r="R95" s="1156"/>
      <c r="S95" s="751"/>
      <c r="T95" s="1156"/>
      <c r="U95" s="1156"/>
      <c r="V95" s="1158"/>
      <c r="W95" s="1158"/>
      <c r="X95" s="1156"/>
      <c r="Y95" s="1162"/>
      <c r="Z95" s="1170"/>
      <c r="AA95" s="1156"/>
      <c r="AB95" s="391"/>
      <c r="AC95" s="447"/>
      <c r="AD95" s="1154"/>
      <c r="AE95" s="1154"/>
      <c r="AF95" s="1152"/>
      <c r="AG95" s="1160"/>
      <c r="AH95" s="414"/>
      <c r="AI95" s="558">
        <f ca="1">IF(AJ95=TRUE,H95*0.8,H95)</f>
        <v>2321.0628679050924</v>
      </c>
      <c r="AJ95" s="414" t="b">
        <v>0</v>
      </c>
      <c r="AK95" s="416">
        <f t="shared" ca="1" si="36"/>
        <v>2785.2754414861106</v>
      </c>
      <c r="AL95" s="416">
        <f t="shared" ca="1" si="37"/>
        <v>3017.3817282766204</v>
      </c>
      <c r="AM95" s="416"/>
      <c r="AN95" s="416"/>
      <c r="AO95" s="419"/>
      <c r="AP95" s="258" t="s">
        <v>45</v>
      </c>
      <c r="AQ95" s="258" t="s">
        <v>351</v>
      </c>
      <c r="AR95" s="417"/>
      <c r="AS95" s="281"/>
      <c r="AT95" s="281"/>
      <c r="AU95" s="417"/>
      <c r="AV95" s="417"/>
      <c r="AW95" s="420"/>
      <c r="AX95" s="417"/>
      <c r="AY95" s="417"/>
      <c r="AZ95" s="417"/>
      <c r="BA95" s="417"/>
      <c r="BB95" s="417"/>
      <c r="BC95" s="417"/>
      <c r="BD95" s="417"/>
      <c r="BE95" s="417"/>
      <c r="BF95" s="417"/>
      <c r="BG95" s="417"/>
      <c r="BH95" s="417"/>
      <c r="BI95" s="417"/>
      <c r="BJ95" s="417"/>
      <c r="BK95" s="417"/>
      <c r="BL95" s="417"/>
      <c r="BM95" s="417"/>
      <c r="BN95" s="417"/>
      <c r="BO95" s="417"/>
      <c r="BP95" s="417"/>
      <c r="BQ95" s="417"/>
      <c r="BR95" s="417"/>
      <c r="BS95" s="417"/>
      <c r="BT95" s="417"/>
      <c r="BU95" s="417"/>
      <c r="BV95" s="417"/>
      <c r="BW95" s="417"/>
      <c r="BX95" s="417"/>
      <c r="BY95" s="417"/>
      <c r="BZ95" s="417"/>
    </row>
    <row r="96" spans="1:78" s="125" customFormat="1" ht="12.75" customHeight="1" x14ac:dyDescent="0.2">
      <c r="A96" s="531">
        <v>47</v>
      </c>
      <c r="B96" s="528" t="str">
        <f>IF(Stammblatt!$L$4=1,'Kalkulation Herstellungskosten'!AP96,'Kalkulation Herstellungskosten'!AQ96)</f>
        <v>Szenenbildassistenz</v>
      </c>
      <c r="C96" s="123">
        <v>0</v>
      </c>
      <c r="D96" s="544"/>
      <c r="E96" s="128"/>
      <c r="F96" s="547">
        <f t="shared" si="51"/>
        <v>0</v>
      </c>
      <c r="G96" s="1159">
        <f>C96*E96+C97*E97</f>
        <v>0</v>
      </c>
      <c r="H96" s="124">
        <f>IF(Stammblatt!$I$9=TRUE,Kollektivvertrag!$C$59,Kollektivvertrag!C53)</f>
        <v>1257.9726523126201</v>
      </c>
      <c r="I96" s="1163"/>
      <c r="J96" s="817"/>
      <c r="K96" s="817"/>
      <c r="L96" s="815">
        <f>G96*J96</f>
        <v>0</v>
      </c>
      <c r="M96" s="816">
        <f>G96*K96</f>
        <v>0</v>
      </c>
      <c r="N96" s="820" t="str">
        <f t="shared" ref="N96" si="54">IF((L96+M96)&gt;G96,"?","")</f>
        <v/>
      </c>
      <c r="O96" s="1155"/>
      <c r="P96" s="1161"/>
      <c r="Q96" s="1169"/>
      <c r="R96" s="1155"/>
      <c r="S96" s="751"/>
      <c r="T96" s="1155"/>
      <c r="U96" s="1155"/>
      <c r="V96" s="1157">
        <f>SUM(T96:U97)</f>
        <v>0</v>
      </c>
      <c r="W96" s="1157">
        <f>G96-V96</f>
        <v>0</v>
      </c>
      <c r="X96" s="1155"/>
      <c r="Y96" s="1161"/>
      <c r="Z96" s="1169"/>
      <c r="AA96" s="1155"/>
      <c r="AB96" s="391"/>
      <c r="AC96" s="447"/>
      <c r="AD96" s="1153"/>
      <c r="AE96" s="1153"/>
      <c r="AF96" s="1151"/>
      <c r="AG96" s="1159">
        <f>SUM(G96,AD96:AF97)</f>
        <v>0</v>
      </c>
      <c r="AH96" s="414"/>
      <c r="AI96" s="558">
        <f>IF(AJ97=TRUE,H96*0.8,H96)</f>
        <v>1257.9726523126201</v>
      </c>
      <c r="AJ96" s="414"/>
      <c r="AK96" s="416">
        <f t="shared" si="36"/>
        <v>1509.5671827751441</v>
      </c>
      <c r="AL96" s="416">
        <f t="shared" si="37"/>
        <v>1635.3644480064061</v>
      </c>
      <c r="AM96" s="416"/>
      <c r="AN96" s="416"/>
      <c r="AO96" s="416"/>
      <c r="AP96" s="258" t="s">
        <v>642</v>
      </c>
      <c r="AQ96" s="258" t="s">
        <v>799</v>
      </c>
      <c r="AR96" s="417"/>
      <c r="AS96" s="281"/>
      <c r="AT96" s="281"/>
      <c r="AU96" s="417"/>
      <c r="AV96" s="417"/>
      <c r="AW96" s="417"/>
      <c r="AX96" s="417"/>
      <c r="AY96" s="417"/>
      <c r="AZ96" s="417"/>
      <c r="BA96" s="417"/>
      <c r="BB96" s="417"/>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17"/>
      <c r="BY96" s="417"/>
      <c r="BZ96" s="417"/>
    </row>
    <row r="97" spans="1:78" s="125" customFormat="1" ht="12.75" customHeight="1" x14ac:dyDescent="0.2">
      <c r="A97" s="529"/>
      <c r="B97" s="530" t="str">
        <f>IF(Stammblatt!$L$4=1,'Kalkulation Herstellungskosten'!AP97,'Kalkulation Herstellungskosten'!AQ97)</f>
        <v xml:space="preserve">Wochenpauschale (§ 7 KV) </v>
      </c>
      <c r="C97" s="118">
        <v>0</v>
      </c>
      <c r="D97" s="545"/>
      <c r="E97" s="119"/>
      <c r="F97" s="548">
        <f t="shared" si="51"/>
        <v>0</v>
      </c>
      <c r="G97" s="1160"/>
      <c r="H97" s="120">
        <f>IF(Stammblatt!$I$9=TRUE,Kollektivvertrag!$E$59,Kollektivvertrag!E53)</f>
        <v>1742.2921234529788</v>
      </c>
      <c r="I97" s="1164"/>
      <c r="J97" s="554"/>
      <c r="K97" s="555"/>
      <c r="L97" s="492"/>
      <c r="M97" s="492"/>
      <c r="N97" s="445"/>
      <c r="O97" s="1156"/>
      <c r="P97" s="1162"/>
      <c r="Q97" s="1170"/>
      <c r="R97" s="1156"/>
      <c r="S97" s="751"/>
      <c r="T97" s="1156"/>
      <c r="U97" s="1156"/>
      <c r="V97" s="1158"/>
      <c r="W97" s="1158"/>
      <c r="X97" s="1156"/>
      <c r="Y97" s="1162"/>
      <c r="Z97" s="1170"/>
      <c r="AA97" s="1156"/>
      <c r="AB97" s="391"/>
      <c r="AC97" s="447"/>
      <c r="AD97" s="1154"/>
      <c r="AE97" s="1154"/>
      <c r="AF97" s="1152"/>
      <c r="AG97" s="1160"/>
      <c r="AH97" s="414"/>
      <c r="AI97" s="558">
        <f>IF(AJ97=TRUE,H97*0.8,H97)</f>
        <v>1742.2921234529788</v>
      </c>
      <c r="AJ97" s="414" t="b">
        <v>0</v>
      </c>
      <c r="AK97" s="416">
        <f t="shared" si="36"/>
        <v>2090.7505481435746</v>
      </c>
      <c r="AL97" s="416">
        <f t="shared" si="37"/>
        <v>2264.9797604888727</v>
      </c>
      <c r="AM97" s="416"/>
      <c r="AN97" s="416"/>
      <c r="AO97" s="419"/>
      <c r="AP97" s="258" t="s">
        <v>45</v>
      </c>
      <c r="AQ97" s="258" t="s">
        <v>351</v>
      </c>
      <c r="AR97" s="417"/>
      <c r="AS97" s="281"/>
      <c r="AT97" s="281"/>
      <c r="AU97" s="417"/>
      <c r="AV97" s="417"/>
      <c r="AW97" s="420"/>
      <c r="AX97" s="417"/>
      <c r="AY97" s="417"/>
      <c r="AZ97" s="417"/>
      <c r="BA97" s="417"/>
      <c r="BB97" s="417"/>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17"/>
      <c r="BY97" s="417"/>
      <c r="BZ97" s="417"/>
    </row>
    <row r="98" spans="1:78" s="125" customFormat="1" ht="12.75" customHeight="1" x14ac:dyDescent="0.2">
      <c r="A98" s="531">
        <v>48</v>
      </c>
      <c r="B98" s="528" t="str">
        <f>IF(Stammblatt!$L$4=1,'Kalkulation Herstellungskosten'!AP98,'Kalkulation Herstellungskosten'!AQ98)</f>
        <v>Maskenbild</v>
      </c>
      <c r="C98" s="123">
        <v>0</v>
      </c>
      <c r="D98" s="544"/>
      <c r="E98" s="128"/>
      <c r="F98" s="547">
        <f t="shared" si="51"/>
        <v>0</v>
      </c>
      <c r="G98" s="1159">
        <f>C98*E98+C99*E99</f>
        <v>0</v>
      </c>
      <c r="H98" s="124">
        <f ca="1">IF(AND(Stammblatt!$I$9=TRUE,GHSTK&lt;=1220000),Kollektivvertrag!$C$59,IF(AND(Stammblatt!$I$9=TRUE,GHSTK&lt;=1570000),Kollektivvertrag!C47/2,Kollektivvertrag!C47))</f>
        <v>1490.1578207048697</v>
      </c>
      <c r="I98" s="1163"/>
      <c r="J98" s="817"/>
      <c r="K98" s="817"/>
      <c r="L98" s="815">
        <f>G98*J98</f>
        <v>0</v>
      </c>
      <c r="M98" s="816">
        <f>G98*K98</f>
        <v>0</v>
      </c>
      <c r="N98" s="820" t="str">
        <f t="shared" ref="N98" si="55">IF((L98+M98)&gt;G98,"?","")</f>
        <v/>
      </c>
      <c r="O98" s="1155"/>
      <c r="P98" s="1161"/>
      <c r="Q98" s="1169"/>
      <c r="R98" s="1155"/>
      <c r="S98" s="751"/>
      <c r="T98" s="1155"/>
      <c r="U98" s="1155"/>
      <c r="V98" s="1157">
        <f>SUM(T98:U99)</f>
        <v>0</v>
      </c>
      <c r="W98" s="1157">
        <f>G98-V98</f>
        <v>0</v>
      </c>
      <c r="X98" s="1155"/>
      <c r="Y98" s="1161"/>
      <c r="Z98" s="1169"/>
      <c r="AA98" s="1155"/>
      <c r="AB98" s="391"/>
      <c r="AC98" s="447"/>
      <c r="AD98" s="1153"/>
      <c r="AE98" s="1153"/>
      <c r="AF98" s="1151"/>
      <c r="AG98" s="1159">
        <f>SUM(G98,AD98:AF99)</f>
        <v>0</v>
      </c>
      <c r="AH98" s="414"/>
      <c r="AI98" s="558">
        <f ca="1">IF(AJ99=TRUE,H98*0.8,H98)</f>
        <v>1490.1578207048697</v>
      </c>
      <c r="AJ98" s="414"/>
      <c r="AK98" s="416">
        <f t="shared" ca="1" si="36"/>
        <v>1788.1893848458435</v>
      </c>
      <c r="AL98" s="416">
        <f t="shared" ca="1" si="37"/>
        <v>1937.2051669163307</v>
      </c>
      <c r="AM98" s="416"/>
      <c r="AN98" s="416"/>
      <c r="AO98" s="416"/>
      <c r="AP98" s="258" t="s">
        <v>639</v>
      </c>
      <c r="AQ98" s="258" t="s">
        <v>492</v>
      </c>
      <c r="AR98" s="417"/>
      <c r="AS98" s="281"/>
      <c r="AT98" s="281"/>
      <c r="AU98" s="417"/>
      <c r="AV98" s="417"/>
      <c r="AW98" s="417"/>
      <c r="AX98" s="417"/>
      <c r="AY98" s="417"/>
      <c r="AZ98" s="417"/>
      <c r="BA98" s="417"/>
      <c r="BB98" s="417"/>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17"/>
      <c r="BY98" s="417"/>
      <c r="BZ98" s="417"/>
    </row>
    <row r="99" spans="1:78" s="125" customFormat="1" ht="12.75" customHeight="1" x14ac:dyDescent="0.2">
      <c r="A99" s="529"/>
      <c r="B99" s="530" t="str">
        <f>IF(Stammblatt!$L$4=1,'Kalkulation Herstellungskosten'!AP99,'Kalkulation Herstellungskosten'!AQ99)</f>
        <v xml:space="preserve">Wochenpauschale (§ 7 KV) </v>
      </c>
      <c r="C99" s="118">
        <v>0</v>
      </c>
      <c r="D99" s="545"/>
      <c r="E99" s="119"/>
      <c r="F99" s="548">
        <f t="shared" si="51"/>
        <v>0</v>
      </c>
      <c r="G99" s="1160"/>
      <c r="H99" s="120">
        <f ca="1">IF(AND(Stammblatt!$I$9=TRUE,GHSTK&lt;=1220000),Kollektivvertrag!$E$59,IF(AND(Stammblatt!$I$9=TRUE,GHSTK&lt;=1570000),Kollektivvertrag!E47/2,Kollektivvertrag!E47))</f>
        <v>2063.8685816762445</v>
      </c>
      <c r="I99" s="1164"/>
      <c r="J99" s="554"/>
      <c r="K99" s="555"/>
      <c r="L99" s="492"/>
      <c r="M99" s="492"/>
      <c r="N99" s="445"/>
      <c r="O99" s="1156"/>
      <c r="P99" s="1162"/>
      <c r="Q99" s="1170"/>
      <c r="R99" s="1156"/>
      <c r="S99" s="751"/>
      <c r="T99" s="1156"/>
      <c r="U99" s="1156"/>
      <c r="V99" s="1158"/>
      <c r="W99" s="1158"/>
      <c r="X99" s="1156"/>
      <c r="Y99" s="1162"/>
      <c r="Z99" s="1170"/>
      <c r="AA99" s="1156"/>
      <c r="AB99" s="391"/>
      <c r="AC99" s="447"/>
      <c r="AD99" s="1154"/>
      <c r="AE99" s="1154"/>
      <c r="AF99" s="1152"/>
      <c r="AG99" s="1160"/>
      <c r="AH99" s="414"/>
      <c r="AI99" s="558">
        <f ca="1">IF(AJ99=TRUE,H99*0.8,H99)</f>
        <v>2063.8685816762445</v>
      </c>
      <c r="AJ99" s="414" t="b">
        <v>0</v>
      </c>
      <c r="AK99" s="416">
        <f t="shared" ref="AK99:AK131" ca="1" si="56">H99*1.2</f>
        <v>2476.6422980114935</v>
      </c>
      <c r="AL99" s="416">
        <f t="shared" ref="AL99:AL131" ca="1" si="57">H99*1.3</f>
        <v>2683.0291561791178</v>
      </c>
      <c r="AM99" s="416"/>
      <c r="AN99" s="416"/>
      <c r="AO99" s="419"/>
      <c r="AP99" s="258" t="s">
        <v>45</v>
      </c>
      <c r="AQ99" s="258" t="s">
        <v>351</v>
      </c>
      <c r="AR99" s="417"/>
      <c r="AS99" s="281"/>
      <c r="AT99" s="281"/>
      <c r="AU99" s="417"/>
      <c r="AV99" s="417"/>
      <c r="AW99" s="420"/>
      <c r="AX99" s="417"/>
      <c r="AY99" s="417"/>
      <c r="AZ99" s="417"/>
      <c r="BA99" s="417"/>
      <c r="BB99" s="417"/>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row>
    <row r="100" spans="1:78" s="125" customFormat="1" ht="12.75" customHeight="1" x14ac:dyDescent="0.2">
      <c r="A100" s="531">
        <v>49</v>
      </c>
      <c r="B100" s="528" t="str">
        <f>IF(Stammblatt!$L$4=1,'Kalkulation Herstellungskosten'!AP100,'Kalkulation Herstellungskosten'!AQ100)</f>
        <v>Maskenbild</v>
      </c>
      <c r="C100" s="123">
        <v>0</v>
      </c>
      <c r="D100" s="544"/>
      <c r="E100" s="128"/>
      <c r="F100" s="547">
        <f t="shared" si="51"/>
        <v>0</v>
      </c>
      <c r="G100" s="1159">
        <f>C100*E100+C101*E101</f>
        <v>0</v>
      </c>
      <c r="H100" s="124">
        <f ca="1">IF(AND(Stammblatt!$I$9=TRUE,GHSTK&lt;=1220000),Kollektivvertrag!$C$59,IF(AND(Stammblatt!$I$9=TRUE,GHSTK&lt;=1570000),Kollektivvertrag!C47/2,Kollektivvertrag!C47))</f>
        <v>1490.1578207048697</v>
      </c>
      <c r="I100" s="1163"/>
      <c r="J100" s="817"/>
      <c r="K100" s="817"/>
      <c r="L100" s="815">
        <f>G100*J100</f>
        <v>0</v>
      </c>
      <c r="M100" s="816">
        <f>G100*K100</f>
        <v>0</v>
      </c>
      <c r="N100" s="820" t="str">
        <f t="shared" ref="N100" si="58">IF((L100+M100)&gt;G100,"?","")</f>
        <v/>
      </c>
      <c r="O100" s="1155"/>
      <c r="P100" s="1161"/>
      <c r="Q100" s="1169"/>
      <c r="R100" s="1155"/>
      <c r="S100" s="751"/>
      <c r="T100" s="1155"/>
      <c r="U100" s="1155"/>
      <c r="V100" s="1157">
        <f>SUM(T100:U101)</f>
        <v>0</v>
      </c>
      <c r="W100" s="1157">
        <f>G100-V100</f>
        <v>0</v>
      </c>
      <c r="X100" s="1155"/>
      <c r="Y100" s="1161"/>
      <c r="Z100" s="1169"/>
      <c r="AA100" s="1155"/>
      <c r="AB100" s="391"/>
      <c r="AC100" s="447"/>
      <c r="AD100" s="1153"/>
      <c r="AE100" s="1153"/>
      <c r="AF100" s="1151"/>
      <c r="AG100" s="1159">
        <f>SUM(G100,AD100:AF101)</f>
        <v>0</v>
      </c>
      <c r="AH100" s="414"/>
      <c r="AI100" s="558">
        <f ca="1">IF(AJ101=TRUE,H100*0.8,H100)</f>
        <v>1490.1578207048697</v>
      </c>
      <c r="AJ100" s="414"/>
      <c r="AK100" s="416">
        <f t="shared" ca="1" si="56"/>
        <v>1788.1893848458435</v>
      </c>
      <c r="AL100" s="416">
        <f t="shared" ca="1" si="57"/>
        <v>1937.2051669163307</v>
      </c>
      <c r="AM100" s="416"/>
      <c r="AN100" s="416"/>
      <c r="AO100" s="416"/>
      <c r="AP100" s="258" t="s">
        <v>639</v>
      </c>
      <c r="AQ100" s="258" t="s">
        <v>492</v>
      </c>
      <c r="AR100" s="417"/>
      <c r="AS100" s="281"/>
      <c r="AT100" s="281"/>
      <c r="AU100" s="417"/>
      <c r="AV100" s="417"/>
      <c r="AW100" s="417"/>
      <c r="AX100" s="417"/>
      <c r="AY100" s="417"/>
      <c r="AZ100" s="417"/>
      <c r="BA100" s="417"/>
      <c r="BB100" s="417"/>
      <c r="BC100" s="417"/>
      <c r="BD100" s="417"/>
      <c r="BE100" s="417"/>
      <c r="BF100" s="417"/>
      <c r="BG100" s="417"/>
      <c r="BH100" s="417"/>
      <c r="BI100" s="417"/>
      <c r="BJ100" s="417"/>
      <c r="BK100" s="417"/>
      <c r="BL100" s="417"/>
      <c r="BM100" s="417"/>
      <c r="BN100" s="417"/>
      <c r="BO100" s="417"/>
      <c r="BP100" s="417"/>
      <c r="BQ100" s="417"/>
      <c r="BR100" s="417"/>
      <c r="BS100" s="417"/>
      <c r="BT100" s="417"/>
      <c r="BU100" s="417"/>
      <c r="BV100" s="417"/>
      <c r="BW100" s="417"/>
      <c r="BX100" s="417"/>
      <c r="BY100" s="417"/>
      <c r="BZ100" s="417"/>
    </row>
    <row r="101" spans="1:78" s="125" customFormat="1" ht="12.75" customHeight="1" x14ac:dyDescent="0.2">
      <c r="A101" s="529"/>
      <c r="B101" s="530" t="str">
        <f>IF(Stammblatt!$L$4=1,'Kalkulation Herstellungskosten'!AP101,'Kalkulation Herstellungskosten'!AQ101)</f>
        <v xml:space="preserve">Wochenpauschale (§ 7 KV) </v>
      </c>
      <c r="C101" s="118">
        <v>0</v>
      </c>
      <c r="D101" s="545"/>
      <c r="E101" s="119"/>
      <c r="F101" s="548">
        <f t="shared" si="51"/>
        <v>0</v>
      </c>
      <c r="G101" s="1160"/>
      <c r="H101" s="120">
        <f ca="1">IF(AND(Stammblatt!$I$9=TRUE,GHSTK&lt;=1220000),Kollektivvertrag!$E$59,IF(AND(Stammblatt!$I$9=TRUE,GHSTK&lt;=1570000),Kollektivvertrag!E47/2,Kollektivvertrag!E47))</f>
        <v>2063.8685816762445</v>
      </c>
      <c r="I101" s="1164"/>
      <c r="J101" s="554"/>
      <c r="K101" s="555"/>
      <c r="L101" s="492"/>
      <c r="M101" s="492"/>
      <c r="N101" s="445"/>
      <c r="O101" s="1156"/>
      <c r="P101" s="1162"/>
      <c r="Q101" s="1170"/>
      <c r="R101" s="1156"/>
      <c r="S101" s="751"/>
      <c r="T101" s="1156"/>
      <c r="U101" s="1156"/>
      <c r="V101" s="1158"/>
      <c r="W101" s="1158"/>
      <c r="X101" s="1156"/>
      <c r="Y101" s="1162"/>
      <c r="Z101" s="1170"/>
      <c r="AA101" s="1156"/>
      <c r="AB101" s="391"/>
      <c r="AC101" s="447"/>
      <c r="AD101" s="1154"/>
      <c r="AE101" s="1154"/>
      <c r="AF101" s="1152"/>
      <c r="AG101" s="1160"/>
      <c r="AH101" s="414"/>
      <c r="AI101" s="558">
        <f ca="1">IF(AJ101=TRUE,H101*0.8,H101)</f>
        <v>2063.8685816762445</v>
      </c>
      <c r="AJ101" s="414" t="b">
        <v>0</v>
      </c>
      <c r="AK101" s="416">
        <f t="shared" ca="1" si="56"/>
        <v>2476.6422980114935</v>
      </c>
      <c r="AL101" s="416">
        <f t="shared" ca="1" si="57"/>
        <v>2683.0291561791178</v>
      </c>
      <c r="AM101" s="416"/>
      <c r="AN101" s="416"/>
      <c r="AO101" s="419"/>
      <c r="AP101" s="258" t="s">
        <v>45</v>
      </c>
      <c r="AQ101" s="258" t="s">
        <v>351</v>
      </c>
      <c r="AR101" s="417"/>
      <c r="AS101" s="281"/>
      <c r="AT101" s="281"/>
      <c r="AU101" s="417"/>
      <c r="AV101" s="417"/>
      <c r="AW101" s="420"/>
      <c r="AX101" s="417"/>
      <c r="AY101" s="417"/>
      <c r="AZ101" s="417"/>
      <c r="BA101" s="417"/>
      <c r="BB101" s="417"/>
      <c r="BC101" s="417"/>
      <c r="BD101" s="417"/>
      <c r="BE101" s="417"/>
      <c r="BF101" s="417"/>
      <c r="BG101" s="417"/>
      <c r="BH101" s="417"/>
      <c r="BI101" s="417"/>
      <c r="BJ101" s="417"/>
      <c r="BK101" s="417"/>
      <c r="BL101" s="417"/>
      <c r="BM101" s="417"/>
      <c r="BN101" s="417"/>
      <c r="BO101" s="417"/>
      <c r="BP101" s="417"/>
      <c r="BQ101" s="417"/>
      <c r="BR101" s="417"/>
      <c r="BS101" s="417"/>
      <c r="BT101" s="417"/>
      <c r="BU101" s="417"/>
      <c r="BV101" s="417"/>
      <c r="BW101" s="417"/>
      <c r="BX101" s="417"/>
      <c r="BY101" s="417"/>
      <c r="BZ101" s="417"/>
    </row>
    <row r="102" spans="1:78" s="125" customFormat="1" ht="12.75" customHeight="1" x14ac:dyDescent="0.2">
      <c r="A102" s="531">
        <v>50</v>
      </c>
      <c r="B102" s="528" t="str">
        <f>IF(Stammblatt!$L$4=1,'Kalkulation Herstellungskosten'!AP102,'Kalkulation Herstellungskosten'!AQ102)</f>
        <v>Maskenbildhilfe</v>
      </c>
      <c r="C102" s="123">
        <v>0</v>
      </c>
      <c r="D102" s="544"/>
      <c r="E102" s="128"/>
      <c r="F102" s="547">
        <f t="shared" si="51"/>
        <v>0</v>
      </c>
      <c r="G102" s="1159">
        <f>C102*E102+C103*E103</f>
        <v>0</v>
      </c>
      <c r="H102" s="124">
        <f>IF(Stammblatt!$I$9=TRUE,Kollektivvertrag!$C$59,Kollektivvertrag!C48)</f>
        <v>748.53725929441623</v>
      </c>
      <c r="I102" s="1163"/>
      <c r="J102" s="817"/>
      <c r="K102" s="817"/>
      <c r="L102" s="815">
        <f>G102*J102</f>
        <v>0</v>
      </c>
      <c r="M102" s="816">
        <f>G102*K102</f>
        <v>0</v>
      </c>
      <c r="N102" s="820" t="str">
        <f t="shared" ref="N102" si="59">IF((L102+M102)&gt;G102,"?","")</f>
        <v/>
      </c>
      <c r="O102" s="1155"/>
      <c r="P102" s="1161"/>
      <c r="Q102" s="1169"/>
      <c r="R102" s="1155"/>
      <c r="S102" s="751"/>
      <c r="T102" s="1155"/>
      <c r="U102" s="1155"/>
      <c r="V102" s="1157">
        <f>SUM(T102:U103)</f>
        <v>0</v>
      </c>
      <c r="W102" s="1157">
        <f>G102-V102</f>
        <v>0</v>
      </c>
      <c r="X102" s="1155"/>
      <c r="Y102" s="1161"/>
      <c r="Z102" s="1169"/>
      <c r="AA102" s="1155"/>
      <c r="AB102" s="391"/>
      <c r="AC102" s="447"/>
      <c r="AD102" s="1153"/>
      <c r="AE102" s="1153"/>
      <c r="AF102" s="1151"/>
      <c r="AG102" s="1159">
        <f>SUM(G102,AD102:AF103)</f>
        <v>0</v>
      </c>
      <c r="AH102" s="414"/>
      <c r="AI102" s="558">
        <f>IF(AJ103=TRUE,H102*0.8,H102)</f>
        <v>748.53725929441623</v>
      </c>
      <c r="AJ102" s="414"/>
      <c r="AK102" s="416">
        <f t="shared" si="56"/>
        <v>898.24471115329948</v>
      </c>
      <c r="AL102" s="416">
        <f t="shared" si="57"/>
        <v>973.09843708274116</v>
      </c>
      <c r="AM102" s="416"/>
      <c r="AN102" s="416"/>
      <c r="AO102" s="416"/>
      <c r="AP102" s="258" t="s">
        <v>640</v>
      </c>
      <c r="AQ102" s="258" t="s">
        <v>358</v>
      </c>
      <c r="AR102" s="417"/>
      <c r="AS102" s="281"/>
      <c r="AT102" s="281"/>
      <c r="AU102" s="417"/>
      <c r="AV102" s="417"/>
      <c r="AW102" s="417"/>
      <c r="AX102" s="417"/>
      <c r="AY102" s="417"/>
      <c r="AZ102" s="417"/>
      <c r="BA102" s="417"/>
      <c r="BB102" s="417"/>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row>
    <row r="103" spans="1:78" s="125" customFormat="1" ht="12.75" customHeight="1" x14ac:dyDescent="0.2">
      <c r="A103" s="529"/>
      <c r="B103" s="530" t="str">
        <f>IF(Stammblatt!$L$4=1,'Kalkulation Herstellungskosten'!AP103,'Kalkulation Herstellungskosten'!AQ103)</f>
        <v xml:space="preserve">Wochenpauschale (§ 7 KV) </v>
      </c>
      <c r="C103" s="118">
        <v>0</v>
      </c>
      <c r="D103" s="545"/>
      <c r="E103" s="119"/>
      <c r="F103" s="548">
        <f t="shared" si="51"/>
        <v>0</v>
      </c>
      <c r="G103" s="1160"/>
      <c r="H103" s="120">
        <f>IF(Stammblatt!$I$9=TRUE,Kollektivvertrag!$E$59,Kollektivvertrag!E48)</f>
        <v>1036.7241041227664</v>
      </c>
      <c r="I103" s="1164"/>
      <c r="J103" s="554"/>
      <c r="K103" s="555"/>
      <c r="L103" s="492"/>
      <c r="M103" s="492"/>
      <c r="N103" s="445"/>
      <c r="O103" s="1156"/>
      <c r="P103" s="1162"/>
      <c r="Q103" s="1170"/>
      <c r="R103" s="1156"/>
      <c r="S103" s="751"/>
      <c r="T103" s="1156"/>
      <c r="U103" s="1156"/>
      <c r="V103" s="1158"/>
      <c r="W103" s="1158"/>
      <c r="X103" s="1156"/>
      <c r="Y103" s="1162"/>
      <c r="Z103" s="1170"/>
      <c r="AA103" s="1156"/>
      <c r="AB103" s="391"/>
      <c r="AC103" s="447"/>
      <c r="AD103" s="1154"/>
      <c r="AE103" s="1154"/>
      <c r="AF103" s="1152"/>
      <c r="AG103" s="1160"/>
      <c r="AH103" s="414"/>
      <c r="AI103" s="558">
        <f>IF(AJ103=TRUE,H103*0.8,H103)</f>
        <v>1036.7241041227664</v>
      </c>
      <c r="AJ103" s="414" t="b">
        <v>0</v>
      </c>
      <c r="AK103" s="416">
        <f t="shared" si="56"/>
        <v>1244.0689249473196</v>
      </c>
      <c r="AL103" s="416">
        <f t="shared" si="57"/>
        <v>1347.7413353595964</v>
      </c>
      <c r="AM103" s="416"/>
      <c r="AN103" s="416"/>
      <c r="AO103" s="419"/>
      <c r="AP103" s="258" t="s">
        <v>45</v>
      </c>
      <c r="AQ103" s="258" t="s">
        <v>351</v>
      </c>
      <c r="AR103" s="417"/>
      <c r="AS103" s="281"/>
      <c r="AT103" s="281"/>
      <c r="AU103" s="417"/>
      <c r="AV103" s="417"/>
      <c r="AW103" s="420"/>
      <c r="AX103" s="417"/>
      <c r="AY103" s="417"/>
      <c r="AZ103" s="417"/>
      <c r="BA103" s="417"/>
      <c r="BB103" s="417"/>
      <c r="BC103" s="417"/>
      <c r="BD103" s="417"/>
      <c r="BE103" s="417"/>
      <c r="BF103" s="417"/>
      <c r="BG103" s="417"/>
      <c r="BH103" s="417"/>
      <c r="BI103" s="417"/>
      <c r="BJ103" s="417"/>
      <c r="BK103" s="417"/>
      <c r="BL103" s="417"/>
      <c r="BM103" s="417"/>
      <c r="BN103" s="417"/>
      <c r="BO103" s="417"/>
      <c r="BP103" s="417"/>
      <c r="BQ103" s="417"/>
      <c r="BR103" s="417"/>
      <c r="BS103" s="417"/>
      <c r="BT103" s="417"/>
      <c r="BU103" s="417"/>
      <c r="BV103" s="417"/>
      <c r="BW103" s="417"/>
      <c r="BX103" s="417"/>
      <c r="BY103" s="417"/>
      <c r="BZ103" s="417"/>
    </row>
    <row r="104" spans="1:78" s="125" customFormat="1" ht="12.75" customHeight="1" x14ac:dyDescent="0.2">
      <c r="A104" s="531">
        <v>51</v>
      </c>
      <c r="B104" s="528" t="str">
        <f>IF(Stammblatt!$L$4=1,'Kalkulation Herstellungskosten'!AP104,'Kalkulation Herstellungskosten'!AQ104)</f>
        <v>Frisur</v>
      </c>
      <c r="C104" s="123">
        <v>0</v>
      </c>
      <c r="D104" s="544"/>
      <c r="E104" s="128"/>
      <c r="F104" s="547">
        <f t="shared" si="51"/>
        <v>0</v>
      </c>
      <c r="G104" s="1159">
        <f>C104*E104+C105*E105</f>
        <v>0</v>
      </c>
      <c r="H104" s="124">
        <f ca="1">IF(AND(Stammblatt!$I$9=TRUE,GHSTK&lt;=1220000),Kollektivvertrag!$C$59,IF(AND(Stammblatt!$I$9=TRUE,GHSTK&lt;=1570000),Kollektivvertrag!C47/2,Kollektivvertrag!C47))</f>
        <v>1490.1578207048697</v>
      </c>
      <c r="I104" s="1163"/>
      <c r="J104" s="817"/>
      <c r="K104" s="817"/>
      <c r="L104" s="815">
        <f>G104*J104</f>
        <v>0</v>
      </c>
      <c r="M104" s="816">
        <f>G104*K104</f>
        <v>0</v>
      </c>
      <c r="N104" s="820" t="str">
        <f t="shared" ref="N104" si="60">IF((L104+M104)&gt;G104,"?","")</f>
        <v/>
      </c>
      <c r="O104" s="1155"/>
      <c r="P104" s="1161"/>
      <c r="Q104" s="1169"/>
      <c r="R104" s="1155"/>
      <c r="S104" s="751"/>
      <c r="T104" s="1155"/>
      <c r="U104" s="1155"/>
      <c r="V104" s="1157">
        <f>SUM(T104:U105)</f>
        <v>0</v>
      </c>
      <c r="W104" s="1157">
        <f>G104-V104</f>
        <v>0</v>
      </c>
      <c r="X104" s="1155"/>
      <c r="Y104" s="1161"/>
      <c r="Z104" s="1169"/>
      <c r="AA104" s="1155"/>
      <c r="AB104" s="391"/>
      <c r="AC104" s="447"/>
      <c r="AD104" s="1153"/>
      <c r="AE104" s="1153"/>
      <c r="AF104" s="1151"/>
      <c r="AG104" s="1159">
        <f>SUM(G104,AD104:AF105)</f>
        <v>0</v>
      </c>
      <c r="AH104" s="414"/>
      <c r="AI104" s="558">
        <f ca="1">IF(AJ105=TRUE,H104*0.8,H104)</f>
        <v>1490.1578207048697</v>
      </c>
      <c r="AJ104" s="414"/>
      <c r="AK104" s="416">
        <f t="shared" ca="1" si="56"/>
        <v>1788.1893848458435</v>
      </c>
      <c r="AL104" s="416">
        <f t="shared" ca="1" si="57"/>
        <v>1937.2051669163307</v>
      </c>
      <c r="AM104" s="416"/>
      <c r="AN104" s="416"/>
      <c r="AO104" s="416"/>
      <c r="AP104" s="258" t="s">
        <v>641</v>
      </c>
      <c r="AQ104" s="258" t="s">
        <v>359</v>
      </c>
      <c r="AR104" s="417"/>
      <c r="AS104" s="281"/>
      <c r="AT104" s="281"/>
      <c r="AU104" s="417"/>
      <c r="AV104" s="417"/>
      <c r="AW104" s="417"/>
      <c r="AX104" s="417"/>
      <c r="AY104" s="417"/>
      <c r="AZ104" s="417"/>
      <c r="BA104" s="417"/>
      <c r="BB104" s="417"/>
      <c r="BC104" s="417"/>
      <c r="BD104" s="417"/>
      <c r="BE104" s="417"/>
      <c r="BF104" s="417"/>
      <c r="BG104" s="417"/>
      <c r="BH104" s="417"/>
      <c r="BI104" s="417"/>
      <c r="BJ104" s="417"/>
      <c r="BK104" s="417"/>
      <c r="BL104" s="417"/>
      <c r="BM104" s="417"/>
      <c r="BN104" s="417"/>
      <c r="BO104" s="417"/>
      <c r="BP104" s="417"/>
      <c r="BQ104" s="417"/>
      <c r="BR104" s="417"/>
      <c r="BS104" s="417"/>
      <c r="BT104" s="417"/>
      <c r="BU104" s="417"/>
      <c r="BV104" s="417"/>
      <c r="BW104" s="417"/>
      <c r="BX104" s="417"/>
      <c r="BY104" s="417"/>
      <c r="BZ104" s="417"/>
    </row>
    <row r="105" spans="1:78" s="125" customFormat="1" ht="12.75" customHeight="1" x14ac:dyDescent="0.2">
      <c r="A105" s="529"/>
      <c r="B105" s="530" t="str">
        <f>IF(Stammblatt!$L$4=1,'Kalkulation Herstellungskosten'!AP105,'Kalkulation Herstellungskosten'!AQ105)</f>
        <v xml:space="preserve">Wochenpauschale (§ 7 KV) </v>
      </c>
      <c r="C105" s="118">
        <v>0</v>
      </c>
      <c r="D105" s="545"/>
      <c r="E105" s="119"/>
      <c r="F105" s="548">
        <f t="shared" si="51"/>
        <v>0</v>
      </c>
      <c r="G105" s="1160"/>
      <c r="H105" s="120">
        <f ca="1">IF(AND(Stammblatt!$I$9=TRUE,GHSTK&lt;=1220000),Kollektivvertrag!$E$59,IF(AND(Stammblatt!$I$9=TRUE,GHSTK&lt;=1570000),Kollektivvertrag!E47/2,Kollektivvertrag!E47))</f>
        <v>2063.8685816762445</v>
      </c>
      <c r="I105" s="1164"/>
      <c r="J105" s="554"/>
      <c r="K105" s="555"/>
      <c r="L105" s="492"/>
      <c r="M105" s="492"/>
      <c r="N105" s="445"/>
      <c r="O105" s="1156"/>
      <c r="P105" s="1162"/>
      <c r="Q105" s="1170"/>
      <c r="R105" s="1156"/>
      <c r="S105" s="751"/>
      <c r="T105" s="1156"/>
      <c r="U105" s="1156"/>
      <c r="V105" s="1158"/>
      <c r="W105" s="1158"/>
      <c r="X105" s="1156"/>
      <c r="Y105" s="1162"/>
      <c r="Z105" s="1170"/>
      <c r="AA105" s="1156"/>
      <c r="AB105" s="391"/>
      <c r="AC105" s="447"/>
      <c r="AD105" s="1154"/>
      <c r="AE105" s="1154"/>
      <c r="AF105" s="1152"/>
      <c r="AG105" s="1160"/>
      <c r="AH105" s="414"/>
      <c r="AI105" s="558">
        <f ca="1">IF(AJ105=TRUE,H105*0.8,H105)</f>
        <v>2063.8685816762445</v>
      </c>
      <c r="AJ105" s="414" t="b">
        <v>0</v>
      </c>
      <c r="AK105" s="416">
        <f t="shared" ca="1" si="56"/>
        <v>2476.6422980114935</v>
      </c>
      <c r="AL105" s="416">
        <f t="shared" ca="1" si="57"/>
        <v>2683.0291561791178</v>
      </c>
      <c r="AM105" s="416"/>
      <c r="AN105" s="416"/>
      <c r="AO105" s="419"/>
      <c r="AP105" s="258" t="s">
        <v>45</v>
      </c>
      <c r="AQ105" s="258" t="s">
        <v>351</v>
      </c>
      <c r="AR105" s="417"/>
      <c r="AS105" s="281"/>
      <c r="AT105" s="281"/>
      <c r="AU105" s="417"/>
      <c r="AV105" s="417"/>
      <c r="AW105" s="420"/>
      <c r="AX105" s="417"/>
      <c r="AY105" s="417"/>
      <c r="AZ105" s="417"/>
      <c r="BA105" s="417"/>
      <c r="BB105" s="417"/>
      <c r="BC105" s="417"/>
      <c r="BD105" s="417"/>
      <c r="BE105" s="417"/>
      <c r="BF105" s="417"/>
      <c r="BG105" s="417"/>
      <c r="BH105" s="417"/>
      <c r="BI105" s="417"/>
      <c r="BJ105" s="417"/>
      <c r="BK105" s="417"/>
      <c r="BL105" s="417"/>
      <c r="BM105" s="417"/>
      <c r="BN105" s="417"/>
      <c r="BO105" s="417"/>
      <c r="BP105" s="417"/>
      <c r="BQ105" s="417"/>
      <c r="BR105" s="417"/>
      <c r="BS105" s="417"/>
      <c r="BT105" s="417"/>
      <c r="BU105" s="417"/>
      <c r="BV105" s="417"/>
      <c r="BW105" s="417"/>
      <c r="BX105" s="417"/>
      <c r="BY105" s="417"/>
      <c r="BZ105" s="417"/>
    </row>
    <row r="106" spans="1:78" s="125" customFormat="1" ht="12.75" customHeight="1" x14ac:dyDescent="0.2">
      <c r="A106" s="531">
        <v>52</v>
      </c>
      <c r="B106" s="528" t="str">
        <f>IF(Stammblatt!$L$4=1,'Kalkulation Herstellungskosten'!AP106,'Kalkulation Herstellungskosten'!AQ106)</f>
        <v>Produktionsfahrer*in</v>
      </c>
      <c r="C106" s="123">
        <v>0</v>
      </c>
      <c r="D106" s="544"/>
      <c r="E106" s="128"/>
      <c r="F106" s="547">
        <f t="shared" si="51"/>
        <v>0</v>
      </c>
      <c r="G106" s="1159">
        <f>C106*E106+C107*E107</f>
        <v>0</v>
      </c>
      <c r="H106" s="124">
        <f>Kollektivvertrag!C56</f>
        <v>639.87266892439527</v>
      </c>
      <c r="I106" s="1163"/>
      <c r="J106" s="817"/>
      <c r="K106" s="817"/>
      <c r="L106" s="815">
        <f>G106*J106</f>
        <v>0</v>
      </c>
      <c r="M106" s="816">
        <f>G106*K106</f>
        <v>0</v>
      </c>
      <c r="N106" s="820" t="str">
        <f t="shared" ref="N106" si="61">IF((L106+M106)&gt;G106,"?","")</f>
        <v/>
      </c>
      <c r="O106" s="1155"/>
      <c r="P106" s="1161"/>
      <c r="Q106" s="1169"/>
      <c r="R106" s="1155"/>
      <c r="S106" s="751"/>
      <c r="T106" s="1155"/>
      <c r="U106" s="1155"/>
      <c r="V106" s="1157">
        <f>SUM(T106:U107)</f>
        <v>0</v>
      </c>
      <c r="W106" s="1157">
        <f>G106-V106</f>
        <v>0</v>
      </c>
      <c r="X106" s="1155"/>
      <c r="Y106" s="1161"/>
      <c r="Z106" s="1169"/>
      <c r="AA106" s="1155"/>
      <c r="AB106" s="391"/>
      <c r="AC106" s="447"/>
      <c r="AD106" s="1153"/>
      <c r="AE106" s="1153"/>
      <c r="AF106" s="1151"/>
      <c r="AG106" s="1159">
        <f>SUM(G106,AD106:AF107)</f>
        <v>0</v>
      </c>
      <c r="AH106" s="414"/>
      <c r="AI106" s="558">
        <f>IF(AJ107=TRUE,H106*0.8,H106)</f>
        <v>639.87266892439527</v>
      </c>
      <c r="AJ106" s="414"/>
      <c r="AK106" s="416">
        <f t="shared" si="56"/>
        <v>767.84720270927426</v>
      </c>
      <c r="AL106" s="416">
        <f t="shared" si="57"/>
        <v>831.83446960171386</v>
      </c>
      <c r="AM106" s="416"/>
      <c r="AN106" s="416"/>
      <c r="AO106" s="416"/>
      <c r="AP106" s="258" t="s">
        <v>909</v>
      </c>
      <c r="AQ106" s="258" t="s">
        <v>1051</v>
      </c>
      <c r="AR106" s="417"/>
      <c r="AS106" s="281"/>
      <c r="AT106" s="281"/>
      <c r="AU106" s="417"/>
      <c r="AV106" s="417"/>
      <c r="AW106" s="420"/>
      <c r="AX106" s="417"/>
      <c r="AY106" s="417"/>
      <c r="AZ106" s="417"/>
      <c r="BA106" s="417"/>
      <c r="BB106" s="417"/>
      <c r="BC106" s="417"/>
      <c r="BD106" s="417"/>
      <c r="BE106" s="417"/>
      <c r="BF106" s="417"/>
      <c r="BG106" s="417"/>
      <c r="BH106" s="417"/>
      <c r="BI106" s="417"/>
      <c r="BJ106" s="417"/>
      <c r="BK106" s="417"/>
      <c r="BL106" s="417"/>
      <c r="BM106" s="417"/>
      <c r="BN106" s="417"/>
      <c r="BO106" s="417"/>
      <c r="BP106" s="417"/>
      <c r="BQ106" s="417"/>
      <c r="BR106" s="417"/>
      <c r="BS106" s="417"/>
      <c r="BT106" s="417"/>
      <c r="BU106" s="417"/>
      <c r="BV106" s="417"/>
      <c r="BW106" s="417"/>
      <c r="BX106" s="417"/>
      <c r="BY106" s="417"/>
      <c r="BZ106" s="417"/>
    </row>
    <row r="107" spans="1:78" s="125" customFormat="1" ht="12.75" customHeight="1" x14ac:dyDescent="0.2">
      <c r="A107" s="529"/>
      <c r="B107" s="530" t="str">
        <f>IF(Stammblatt!$L$4=1,'Kalkulation Herstellungskosten'!AP107,'Kalkulation Herstellungskosten'!AQ107)</f>
        <v xml:space="preserve">Wochenpauschale (§ 7 KV) </v>
      </c>
      <c r="C107" s="118">
        <v>0</v>
      </c>
      <c r="D107" s="545"/>
      <c r="E107" s="119"/>
      <c r="F107" s="548">
        <f t="shared" si="51"/>
        <v>0</v>
      </c>
      <c r="G107" s="1160"/>
      <c r="H107" s="120">
        <f>Kollektivvertrag!E56</f>
        <v>886.22364646028757</v>
      </c>
      <c r="I107" s="1164"/>
      <c r="J107" s="554"/>
      <c r="K107" s="555"/>
      <c r="L107" s="492"/>
      <c r="M107" s="492"/>
      <c r="N107" s="445"/>
      <c r="O107" s="1156"/>
      <c r="P107" s="1162"/>
      <c r="Q107" s="1170"/>
      <c r="R107" s="1156"/>
      <c r="S107" s="751"/>
      <c r="T107" s="1156"/>
      <c r="U107" s="1156"/>
      <c r="V107" s="1158"/>
      <c r="W107" s="1158"/>
      <c r="X107" s="1156"/>
      <c r="Y107" s="1162"/>
      <c r="Z107" s="1170"/>
      <c r="AA107" s="1156"/>
      <c r="AB107" s="391"/>
      <c r="AC107" s="447"/>
      <c r="AD107" s="1154"/>
      <c r="AE107" s="1154"/>
      <c r="AF107" s="1152"/>
      <c r="AG107" s="1160"/>
      <c r="AH107" s="414"/>
      <c r="AI107" s="558">
        <f>IF(AJ107=TRUE,H107*0.8,H107)</f>
        <v>886.22364646028757</v>
      </c>
      <c r="AJ107" s="414" t="b">
        <v>0</v>
      </c>
      <c r="AK107" s="416">
        <f t="shared" si="56"/>
        <v>1063.4683757523451</v>
      </c>
      <c r="AL107" s="416">
        <f t="shared" si="57"/>
        <v>1152.0907403983738</v>
      </c>
      <c r="AM107" s="416"/>
      <c r="AN107" s="416"/>
      <c r="AO107" s="419"/>
      <c r="AP107" s="258" t="s">
        <v>45</v>
      </c>
      <c r="AQ107" s="258" t="s">
        <v>351</v>
      </c>
      <c r="AR107" s="417"/>
      <c r="AS107" s="281"/>
      <c r="AT107" s="281"/>
      <c r="AU107" s="417"/>
      <c r="AV107" s="417"/>
      <c r="AW107" s="420"/>
      <c r="AX107" s="417"/>
      <c r="AY107" s="417"/>
      <c r="AZ107" s="417"/>
      <c r="BA107" s="417"/>
      <c r="BB107" s="417"/>
      <c r="BC107" s="417"/>
      <c r="BD107" s="417"/>
      <c r="BE107" s="417"/>
      <c r="BF107" s="417"/>
      <c r="BG107" s="417"/>
      <c r="BH107" s="417"/>
      <c r="BI107" s="417"/>
      <c r="BJ107" s="417"/>
      <c r="BK107" s="417"/>
      <c r="BL107" s="417"/>
      <c r="BM107" s="417"/>
      <c r="BN107" s="417"/>
      <c r="BO107" s="417"/>
      <c r="BP107" s="417"/>
      <c r="BQ107" s="417"/>
      <c r="BR107" s="417"/>
      <c r="BS107" s="417"/>
      <c r="BT107" s="417"/>
      <c r="BU107" s="417"/>
      <c r="BV107" s="417"/>
      <c r="BW107" s="417"/>
      <c r="BX107" s="417"/>
      <c r="BY107" s="417"/>
      <c r="BZ107" s="417"/>
    </row>
    <row r="108" spans="1:78" s="125" customFormat="1" ht="12.75" customHeight="1" x14ac:dyDescent="0.2">
      <c r="A108" s="531">
        <v>53</v>
      </c>
      <c r="B108" s="528" t="str">
        <f>IF(Stammblatt!$L$4=1,'Kalkulation Herstellungskosten'!AP108,'Kalkulation Herstellungskosten'!AQ108)</f>
        <v>Produktionsfahrer*in</v>
      </c>
      <c r="C108" s="123">
        <v>0</v>
      </c>
      <c r="D108" s="544"/>
      <c r="E108" s="128"/>
      <c r="F108" s="547">
        <f t="shared" si="51"/>
        <v>0</v>
      </c>
      <c r="G108" s="1159">
        <f>C108*E108+C109*E109</f>
        <v>0</v>
      </c>
      <c r="H108" s="124">
        <f>Kollektivvertrag!C56</f>
        <v>639.87266892439527</v>
      </c>
      <c r="I108" s="1163"/>
      <c r="J108" s="817"/>
      <c r="K108" s="817"/>
      <c r="L108" s="815">
        <f>G108*J108</f>
        <v>0</v>
      </c>
      <c r="M108" s="816">
        <f>G108*K108</f>
        <v>0</v>
      </c>
      <c r="N108" s="820" t="str">
        <f t="shared" ref="N108" si="62">IF((L108+M108)&gt;G108,"?","")</f>
        <v/>
      </c>
      <c r="O108" s="1155"/>
      <c r="P108" s="1161"/>
      <c r="Q108" s="1169"/>
      <c r="R108" s="1155"/>
      <c r="S108" s="751"/>
      <c r="T108" s="1155"/>
      <c r="U108" s="1155"/>
      <c r="V108" s="1157">
        <f>SUM(T108:U109)</f>
        <v>0</v>
      </c>
      <c r="W108" s="1157">
        <f>G108-V108</f>
        <v>0</v>
      </c>
      <c r="X108" s="1155"/>
      <c r="Y108" s="1161"/>
      <c r="Z108" s="1169"/>
      <c r="AA108" s="1155"/>
      <c r="AB108" s="391"/>
      <c r="AC108" s="447"/>
      <c r="AD108" s="1153"/>
      <c r="AE108" s="1153"/>
      <c r="AF108" s="1151"/>
      <c r="AG108" s="1159">
        <f>SUM(G108,AD108:AF109)</f>
        <v>0</v>
      </c>
      <c r="AH108" s="414"/>
      <c r="AI108" s="558">
        <f>IF(AJ109=TRUE,H108*0.8,H108)</f>
        <v>639.87266892439527</v>
      </c>
      <c r="AJ108" s="414"/>
      <c r="AK108" s="416">
        <f t="shared" si="56"/>
        <v>767.84720270927426</v>
      </c>
      <c r="AL108" s="416">
        <f t="shared" si="57"/>
        <v>831.83446960171386</v>
      </c>
      <c r="AM108" s="416"/>
      <c r="AN108" s="416"/>
      <c r="AO108" s="416"/>
      <c r="AP108" s="258" t="s">
        <v>909</v>
      </c>
      <c r="AQ108" s="258" t="s">
        <v>1051</v>
      </c>
      <c r="AR108" s="417"/>
      <c r="AS108" s="281"/>
      <c r="AT108" s="281"/>
      <c r="AU108" s="417"/>
      <c r="AV108" s="417"/>
      <c r="AW108" s="420"/>
      <c r="AX108" s="417"/>
      <c r="AY108" s="417"/>
      <c r="AZ108" s="417"/>
      <c r="BA108" s="417"/>
      <c r="BB108" s="417"/>
      <c r="BC108" s="417"/>
      <c r="BD108" s="417"/>
      <c r="BE108" s="417"/>
      <c r="BF108" s="417"/>
      <c r="BG108" s="417"/>
      <c r="BH108" s="417"/>
      <c r="BI108" s="417"/>
      <c r="BJ108" s="417"/>
      <c r="BK108" s="417"/>
      <c r="BL108" s="417"/>
      <c r="BM108" s="417"/>
      <c r="BN108" s="417"/>
      <c r="BO108" s="417"/>
      <c r="BP108" s="417"/>
      <c r="BQ108" s="417"/>
      <c r="BR108" s="417"/>
      <c r="BS108" s="417"/>
      <c r="BT108" s="417"/>
      <c r="BU108" s="417"/>
      <c r="BV108" s="417"/>
      <c r="BW108" s="417"/>
      <c r="BX108" s="417"/>
      <c r="BY108" s="417"/>
      <c r="BZ108" s="417"/>
    </row>
    <row r="109" spans="1:78" s="125" customFormat="1" ht="12.75" customHeight="1" x14ac:dyDescent="0.2">
      <c r="A109" s="529"/>
      <c r="B109" s="530" t="str">
        <f>IF(Stammblatt!$L$4=1,'Kalkulation Herstellungskosten'!AP109,'Kalkulation Herstellungskosten'!AQ109)</f>
        <v xml:space="preserve">Wochenpauschale (§ 7 KV) </v>
      </c>
      <c r="C109" s="118">
        <v>0</v>
      </c>
      <c r="D109" s="545"/>
      <c r="E109" s="119"/>
      <c r="F109" s="548">
        <f t="shared" si="51"/>
        <v>0</v>
      </c>
      <c r="G109" s="1160"/>
      <c r="H109" s="120">
        <f>Kollektivvertrag!E56</f>
        <v>886.22364646028757</v>
      </c>
      <c r="I109" s="1164"/>
      <c r="J109" s="554"/>
      <c r="K109" s="555"/>
      <c r="L109" s="492"/>
      <c r="M109" s="492"/>
      <c r="N109" s="445"/>
      <c r="O109" s="1156"/>
      <c r="P109" s="1162"/>
      <c r="Q109" s="1170"/>
      <c r="R109" s="1156"/>
      <c r="S109" s="751"/>
      <c r="T109" s="1156"/>
      <c r="U109" s="1156"/>
      <c r="V109" s="1158"/>
      <c r="W109" s="1158"/>
      <c r="X109" s="1156"/>
      <c r="Y109" s="1162"/>
      <c r="Z109" s="1170"/>
      <c r="AA109" s="1156"/>
      <c r="AB109" s="391"/>
      <c r="AC109" s="447"/>
      <c r="AD109" s="1154"/>
      <c r="AE109" s="1154"/>
      <c r="AF109" s="1152"/>
      <c r="AG109" s="1160"/>
      <c r="AH109" s="414"/>
      <c r="AI109" s="558">
        <f>IF(AJ109=TRUE,H109*0.8,H109)</f>
        <v>886.22364646028757</v>
      </c>
      <c r="AJ109" s="414" t="b">
        <v>0</v>
      </c>
      <c r="AK109" s="416">
        <f t="shared" si="56"/>
        <v>1063.4683757523451</v>
      </c>
      <c r="AL109" s="416">
        <f t="shared" si="57"/>
        <v>1152.0907403983738</v>
      </c>
      <c r="AM109" s="416"/>
      <c r="AN109" s="416"/>
      <c r="AO109" s="419"/>
      <c r="AP109" s="258" t="s">
        <v>45</v>
      </c>
      <c r="AQ109" s="258" t="s">
        <v>351</v>
      </c>
      <c r="AR109" s="417"/>
      <c r="AS109" s="281"/>
      <c r="AT109" s="281"/>
      <c r="AU109" s="417"/>
      <c r="AV109" s="417"/>
      <c r="AW109" s="420"/>
      <c r="AX109" s="417"/>
      <c r="AY109" s="417"/>
      <c r="AZ109" s="417"/>
      <c r="BA109" s="417"/>
      <c r="BB109" s="417"/>
      <c r="BC109" s="417"/>
      <c r="BD109" s="417"/>
      <c r="BE109" s="417"/>
      <c r="BF109" s="417"/>
      <c r="BG109" s="417"/>
      <c r="BH109" s="417"/>
      <c r="BI109" s="417"/>
      <c r="BJ109" s="417"/>
      <c r="BK109" s="417"/>
      <c r="BL109" s="417"/>
      <c r="BM109" s="417"/>
      <c r="BN109" s="417"/>
      <c r="BO109" s="417"/>
      <c r="BP109" s="417"/>
      <c r="BQ109" s="417"/>
      <c r="BR109" s="417"/>
      <c r="BS109" s="417"/>
      <c r="BT109" s="417"/>
      <c r="BU109" s="417"/>
      <c r="BV109" s="417"/>
      <c r="BW109" s="417"/>
      <c r="BX109" s="417"/>
      <c r="BY109" s="417"/>
      <c r="BZ109" s="417"/>
    </row>
    <row r="110" spans="1:78" s="125" customFormat="1" ht="12.75" customHeight="1" x14ac:dyDescent="0.2">
      <c r="A110" s="531">
        <v>54</v>
      </c>
      <c r="B110" s="528" t="str">
        <f>IF(Stammblatt!$L$4=1,'Kalkulation Herstellungskosten'!AP110,'Kalkulation Herstellungskosten'!AQ110)</f>
        <v>Produktionsfahrer*in</v>
      </c>
      <c r="C110" s="123">
        <v>0</v>
      </c>
      <c r="D110" s="544"/>
      <c r="E110" s="128"/>
      <c r="F110" s="547">
        <f t="shared" si="51"/>
        <v>0</v>
      </c>
      <c r="G110" s="1159">
        <f>C110*E110+C111*E111</f>
        <v>0</v>
      </c>
      <c r="H110" s="124">
        <f>Kollektivvertrag!C56</f>
        <v>639.87266892439527</v>
      </c>
      <c r="I110" s="1163"/>
      <c r="J110" s="817"/>
      <c r="K110" s="817"/>
      <c r="L110" s="815">
        <f>G110*J110</f>
        <v>0</v>
      </c>
      <c r="M110" s="816">
        <f>G110*K110</f>
        <v>0</v>
      </c>
      <c r="N110" s="820" t="str">
        <f t="shared" ref="N110" si="63">IF((L110+M110)&gt;G110,"?","")</f>
        <v/>
      </c>
      <c r="O110" s="1155"/>
      <c r="P110" s="1161"/>
      <c r="Q110" s="1169"/>
      <c r="R110" s="1155"/>
      <c r="S110" s="751"/>
      <c r="T110" s="1155"/>
      <c r="U110" s="1155"/>
      <c r="V110" s="1157">
        <f>SUM(T110:U111)</f>
        <v>0</v>
      </c>
      <c r="W110" s="1157">
        <f>G110-V110</f>
        <v>0</v>
      </c>
      <c r="X110" s="1155"/>
      <c r="Y110" s="1161"/>
      <c r="Z110" s="1169"/>
      <c r="AA110" s="1155"/>
      <c r="AB110" s="391"/>
      <c r="AC110" s="447"/>
      <c r="AD110" s="1153"/>
      <c r="AE110" s="1153"/>
      <c r="AF110" s="1151"/>
      <c r="AG110" s="1159">
        <f>SUM(G110,AD110:AF111)</f>
        <v>0</v>
      </c>
      <c r="AH110" s="414"/>
      <c r="AI110" s="558">
        <f>IF(AJ111=TRUE,H110*0.8,H110)</f>
        <v>639.87266892439527</v>
      </c>
      <c r="AJ110" s="414"/>
      <c r="AK110" s="416">
        <f t="shared" si="56"/>
        <v>767.84720270927426</v>
      </c>
      <c r="AL110" s="416">
        <f t="shared" si="57"/>
        <v>831.83446960171386</v>
      </c>
      <c r="AM110" s="416"/>
      <c r="AN110" s="416"/>
      <c r="AO110" s="416"/>
      <c r="AP110" s="258" t="s">
        <v>909</v>
      </c>
      <c r="AQ110" s="258" t="s">
        <v>1051</v>
      </c>
      <c r="AR110" s="417"/>
      <c r="AS110" s="281"/>
      <c r="AT110" s="281"/>
      <c r="AU110" s="417"/>
      <c r="AV110" s="417"/>
      <c r="AW110" s="420"/>
      <c r="AX110" s="417"/>
      <c r="AY110" s="417"/>
      <c r="AZ110" s="417"/>
      <c r="BA110" s="417"/>
      <c r="BB110" s="417"/>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row>
    <row r="111" spans="1:78" s="125" customFormat="1" ht="12.75" customHeight="1" x14ac:dyDescent="0.2">
      <c r="A111" s="529"/>
      <c r="B111" s="530" t="str">
        <f>IF(Stammblatt!$L$4=1,'Kalkulation Herstellungskosten'!AP111,'Kalkulation Herstellungskosten'!AQ111)</f>
        <v xml:space="preserve">Wochenpauschale (§ 7 KV) </v>
      </c>
      <c r="C111" s="118">
        <v>0</v>
      </c>
      <c r="D111" s="545"/>
      <c r="E111" s="119"/>
      <c r="F111" s="548">
        <f t="shared" si="51"/>
        <v>0</v>
      </c>
      <c r="G111" s="1160"/>
      <c r="H111" s="120">
        <f>Kollektivvertrag!E56</f>
        <v>886.22364646028757</v>
      </c>
      <c r="I111" s="1164"/>
      <c r="J111" s="554"/>
      <c r="K111" s="555"/>
      <c r="L111" s="492"/>
      <c r="M111" s="492"/>
      <c r="N111" s="445"/>
      <c r="O111" s="1156"/>
      <c r="P111" s="1162"/>
      <c r="Q111" s="1170"/>
      <c r="R111" s="1156"/>
      <c r="S111" s="751"/>
      <c r="T111" s="1156"/>
      <c r="U111" s="1156"/>
      <c r="V111" s="1158"/>
      <c r="W111" s="1158"/>
      <c r="X111" s="1156"/>
      <c r="Y111" s="1162"/>
      <c r="Z111" s="1170"/>
      <c r="AA111" s="1156"/>
      <c r="AB111" s="391"/>
      <c r="AC111" s="447"/>
      <c r="AD111" s="1154"/>
      <c r="AE111" s="1154"/>
      <c r="AF111" s="1152"/>
      <c r="AG111" s="1160"/>
      <c r="AH111" s="414"/>
      <c r="AI111" s="558">
        <f>IF(AJ111=TRUE,H111*0.8,H111)</f>
        <v>886.22364646028757</v>
      </c>
      <c r="AJ111" s="414" t="b">
        <v>0</v>
      </c>
      <c r="AK111" s="416">
        <f t="shared" si="56"/>
        <v>1063.4683757523451</v>
      </c>
      <c r="AL111" s="416">
        <f t="shared" si="57"/>
        <v>1152.0907403983738</v>
      </c>
      <c r="AM111" s="416"/>
      <c r="AN111" s="416"/>
      <c r="AO111" s="419"/>
      <c r="AP111" s="258" t="s">
        <v>45</v>
      </c>
      <c r="AQ111" s="258" t="s">
        <v>351</v>
      </c>
      <c r="AR111" s="417"/>
      <c r="AS111" s="281"/>
      <c r="AT111" s="281"/>
      <c r="AU111" s="417"/>
      <c r="AV111" s="417"/>
      <c r="AW111" s="420"/>
      <c r="AX111" s="417"/>
      <c r="AY111" s="417"/>
      <c r="AZ111" s="417"/>
      <c r="BA111" s="417"/>
      <c r="BB111" s="417"/>
      <c r="BC111" s="417"/>
      <c r="BD111" s="417"/>
      <c r="BE111" s="417"/>
      <c r="BF111" s="417"/>
      <c r="BG111" s="417"/>
      <c r="BH111" s="417"/>
      <c r="BI111" s="417"/>
      <c r="BJ111" s="417"/>
      <c r="BK111" s="417"/>
      <c r="BL111" s="417"/>
      <c r="BM111" s="417"/>
      <c r="BN111" s="417"/>
      <c r="BO111" s="417"/>
      <c r="BP111" s="417"/>
      <c r="BQ111" s="417"/>
      <c r="BR111" s="417"/>
      <c r="BS111" s="417"/>
      <c r="BT111" s="417"/>
      <c r="BU111" s="417"/>
      <c r="BV111" s="417"/>
      <c r="BW111" s="417"/>
      <c r="BX111" s="417"/>
      <c r="BY111" s="417"/>
      <c r="BZ111" s="417"/>
    </row>
    <row r="112" spans="1:78" s="125" customFormat="1" ht="12.75" customHeight="1" x14ac:dyDescent="0.2">
      <c r="A112" s="531">
        <v>55</v>
      </c>
      <c r="B112" s="528" t="str">
        <f>IF(Stammblatt!$L$4=1,'Kalkulation Herstellungskosten'!AP112,'Kalkulation Herstellungskosten'!AQ112)</f>
        <v>Oberbeleuchter*in</v>
      </c>
      <c r="C112" s="123">
        <v>0</v>
      </c>
      <c r="D112" s="544"/>
      <c r="E112" s="128"/>
      <c r="F112" s="547">
        <f t="shared" si="51"/>
        <v>0</v>
      </c>
      <c r="G112" s="1159">
        <f>C112*E112+C113*E113</f>
        <v>0</v>
      </c>
      <c r="H112" s="124">
        <f>IF(Stammblatt!$I$9=TRUE,Kollektivvertrag!$C$59,Kollektivvertrag!C54)</f>
        <v>1247.7893414649784</v>
      </c>
      <c r="I112" s="1163"/>
      <c r="J112" s="817"/>
      <c r="K112" s="817"/>
      <c r="L112" s="815">
        <f>G112*J112</f>
        <v>0</v>
      </c>
      <c r="M112" s="816">
        <f>G112*K112</f>
        <v>0</v>
      </c>
      <c r="N112" s="820" t="str">
        <f t="shared" ref="N112" si="64">IF((L112+M112)&gt;G112,"?","")</f>
        <v/>
      </c>
      <c r="O112" s="1155"/>
      <c r="P112" s="1161"/>
      <c r="Q112" s="1169"/>
      <c r="R112" s="1155"/>
      <c r="S112" s="751"/>
      <c r="T112" s="1155"/>
      <c r="U112" s="1155"/>
      <c r="V112" s="1157">
        <f>SUM(T112:U113)</f>
        <v>0</v>
      </c>
      <c r="W112" s="1157">
        <f>G112-V112</f>
        <v>0</v>
      </c>
      <c r="X112" s="1155"/>
      <c r="Y112" s="1161"/>
      <c r="Z112" s="1169"/>
      <c r="AA112" s="1155"/>
      <c r="AB112" s="391"/>
      <c r="AC112" s="447"/>
      <c r="AD112" s="1153"/>
      <c r="AE112" s="1153"/>
      <c r="AF112" s="1151"/>
      <c r="AG112" s="1159">
        <f>SUM(G112,AD112:AF113)</f>
        <v>0</v>
      </c>
      <c r="AH112" s="414"/>
      <c r="AI112" s="558">
        <f>IF(AJ113=TRUE,H112*0.8,H112)</f>
        <v>1247.7893414649784</v>
      </c>
      <c r="AJ112" s="414"/>
      <c r="AK112" s="416">
        <f t="shared" si="56"/>
        <v>1497.347209757974</v>
      </c>
      <c r="AL112" s="416">
        <f t="shared" si="57"/>
        <v>1622.126143904472</v>
      </c>
      <c r="AM112" s="416"/>
      <c r="AN112" s="416"/>
      <c r="AO112" s="416"/>
      <c r="AP112" s="258" t="s">
        <v>911</v>
      </c>
      <c r="AQ112" s="258" t="s">
        <v>337</v>
      </c>
      <c r="AR112" s="417"/>
      <c r="AS112" s="281"/>
      <c r="AT112" s="281"/>
      <c r="AU112" s="417"/>
      <c r="AV112" s="417"/>
      <c r="AW112" s="417"/>
      <c r="AX112" s="417"/>
      <c r="AY112" s="417"/>
      <c r="AZ112" s="417"/>
      <c r="BA112" s="417"/>
      <c r="BB112" s="417"/>
      <c r="BC112" s="417"/>
      <c r="BD112" s="417"/>
      <c r="BE112" s="417"/>
      <c r="BF112" s="417"/>
      <c r="BG112" s="417"/>
      <c r="BH112" s="417"/>
      <c r="BI112" s="417"/>
      <c r="BJ112" s="417"/>
      <c r="BK112" s="417"/>
      <c r="BL112" s="417"/>
      <c r="BM112" s="417"/>
      <c r="BN112" s="417"/>
      <c r="BO112" s="417"/>
      <c r="BP112" s="417"/>
      <c r="BQ112" s="417"/>
      <c r="BR112" s="417"/>
      <c r="BS112" s="417"/>
      <c r="BT112" s="417"/>
      <c r="BU112" s="417"/>
      <c r="BV112" s="417"/>
      <c r="BW112" s="417"/>
      <c r="BX112" s="417"/>
      <c r="BY112" s="417"/>
      <c r="BZ112" s="417"/>
    </row>
    <row r="113" spans="1:78" s="125" customFormat="1" ht="12.75" customHeight="1" x14ac:dyDescent="0.2">
      <c r="A113" s="529"/>
      <c r="B113" s="530" t="str">
        <f>IF(Stammblatt!$L$4=1,'Kalkulation Herstellungskosten'!AP113,'Kalkulation Herstellungskosten'!AQ113)</f>
        <v xml:space="preserve">Wochenpauschale (§ 7 KV) </v>
      </c>
      <c r="C113" s="118">
        <v>0</v>
      </c>
      <c r="D113" s="545"/>
      <c r="E113" s="119"/>
      <c r="F113" s="548">
        <f t="shared" si="51"/>
        <v>0</v>
      </c>
      <c r="G113" s="1160"/>
      <c r="H113" s="120">
        <f>IF(Stammblatt!$I$9=TRUE,Kollektivvertrag!$E$59,Kollektivvertrag!E54)</f>
        <v>1728.1882379289952</v>
      </c>
      <c r="I113" s="1164"/>
      <c r="J113" s="554"/>
      <c r="K113" s="555"/>
      <c r="L113" s="492"/>
      <c r="M113" s="492"/>
      <c r="N113" s="445"/>
      <c r="O113" s="1156"/>
      <c r="P113" s="1162"/>
      <c r="Q113" s="1170"/>
      <c r="R113" s="1156"/>
      <c r="S113" s="751"/>
      <c r="T113" s="1156"/>
      <c r="U113" s="1156"/>
      <c r="V113" s="1158"/>
      <c r="W113" s="1158"/>
      <c r="X113" s="1156"/>
      <c r="Y113" s="1162"/>
      <c r="Z113" s="1170"/>
      <c r="AA113" s="1156"/>
      <c r="AB113" s="391"/>
      <c r="AC113" s="447"/>
      <c r="AD113" s="1154"/>
      <c r="AE113" s="1154"/>
      <c r="AF113" s="1152"/>
      <c r="AG113" s="1160"/>
      <c r="AH113" s="414"/>
      <c r="AI113" s="558">
        <f>IF(AJ113=TRUE,H113*0.8,H113)</f>
        <v>1728.1882379289952</v>
      </c>
      <c r="AJ113" s="414" t="b">
        <v>0</v>
      </c>
      <c r="AK113" s="416">
        <f t="shared" si="56"/>
        <v>2073.8258855147942</v>
      </c>
      <c r="AL113" s="416">
        <f t="shared" si="57"/>
        <v>2246.644709307694</v>
      </c>
      <c r="AM113" s="416"/>
      <c r="AN113" s="416"/>
      <c r="AO113" s="419"/>
      <c r="AP113" s="258" t="s">
        <v>45</v>
      </c>
      <c r="AQ113" s="258" t="s">
        <v>351</v>
      </c>
      <c r="AR113" s="417"/>
      <c r="AS113" s="281"/>
      <c r="AT113" s="281"/>
      <c r="AU113" s="417"/>
      <c r="AV113" s="417"/>
      <c r="AW113" s="420"/>
      <c r="AX113" s="417"/>
      <c r="AY113" s="417"/>
      <c r="AZ113" s="417"/>
      <c r="BA113" s="417"/>
      <c r="BB113" s="417"/>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row>
    <row r="114" spans="1:78" s="125" customFormat="1" ht="12.75" customHeight="1" x14ac:dyDescent="0.2">
      <c r="A114" s="531">
        <v>56</v>
      </c>
      <c r="B114" s="528" t="str">
        <f>IF(Stammblatt!$L$4=1,'Kalkulation Herstellungskosten'!AP114,'Kalkulation Herstellungskosten'!AQ114)</f>
        <v>Beleuchter*in</v>
      </c>
      <c r="C114" s="123">
        <v>0</v>
      </c>
      <c r="D114" s="544"/>
      <c r="E114" s="128"/>
      <c r="F114" s="547">
        <f t="shared" si="51"/>
        <v>0</v>
      </c>
      <c r="G114" s="1159">
        <f>C114*E114+C115*E115</f>
        <v>0</v>
      </c>
      <c r="H114" s="124">
        <f>IF(Stammblatt!$I$9=TRUE,Kollektivvertrag!$C$59,Kollektivvertrag!C55)</f>
        <v>870.50974682516244</v>
      </c>
      <c r="I114" s="1163"/>
      <c r="J114" s="817"/>
      <c r="K114" s="817"/>
      <c r="L114" s="815">
        <f>G114*J114</f>
        <v>0</v>
      </c>
      <c r="M114" s="816">
        <f>G114*K114</f>
        <v>0</v>
      </c>
      <c r="N114" s="820" t="str">
        <f t="shared" ref="N114" si="65">IF((L114+M114)&gt;G114,"?","")</f>
        <v/>
      </c>
      <c r="O114" s="1155"/>
      <c r="P114" s="1161"/>
      <c r="Q114" s="1169"/>
      <c r="R114" s="1155"/>
      <c r="S114" s="751"/>
      <c r="T114" s="1155"/>
      <c r="U114" s="1155"/>
      <c r="V114" s="1157">
        <f>SUM(T114:U115)</f>
        <v>0</v>
      </c>
      <c r="W114" s="1157">
        <f>G114-V114</f>
        <v>0</v>
      </c>
      <c r="X114" s="1155"/>
      <c r="Y114" s="1161"/>
      <c r="Z114" s="1169"/>
      <c r="AA114" s="1155"/>
      <c r="AB114" s="391"/>
      <c r="AC114" s="447"/>
      <c r="AD114" s="1153"/>
      <c r="AE114" s="1153"/>
      <c r="AF114" s="1151"/>
      <c r="AG114" s="1159">
        <f>SUM(G114,AD114:AF115)</f>
        <v>0</v>
      </c>
      <c r="AH114" s="414"/>
      <c r="AI114" s="558">
        <f>IF(AJ115=TRUE,H114*0.8,H114)</f>
        <v>870.50974682516244</v>
      </c>
      <c r="AJ114" s="414"/>
      <c r="AK114" s="416">
        <f t="shared" si="56"/>
        <v>1044.6116961901948</v>
      </c>
      <c r="AL114" s="416">
        <f t="shared" si="57"/>
        <v>1131.6626708727113</v>
      </c>
      <c r="AM114" s="416"/>
      <c r="AN114" s="416"/>
      <c r="AO114" s="416"/>
      <c r="AP114" s="258" t="s">
        <v>1053</v>
      </c>
      <c r="AQ114" s="258" t="s">
        <v>338</v>
      </c>
      <c r="AR114" s="417"/>
      <c r="AS114" s="281"/>
      <c r="AT114" s="281"/>
      <c r="AU114" s="417"/>
      <c r="AV114" s="417"/>
      <c r="AW114" s="417"/>
      <c r="AX114" s="417"/>
      <c r="AY114" s="417"/>
      <c r="AZ114" s="417"/>
      <c r="BA114" s="417"/>
      <c r="BB114" s="417"/>
      <c r="BC114" s="417"/>
      <c r="BD114" s="417"/>
      <c r="BE114" s="417"/>
      <c r="BF114" s="417"/>
      <c r="BG114" s="417"/>
      <c r="BH114" s="417"/>
      <c r="BI114" s="417"/>
      <c r="BJ114" s="417"/>
      <c r="BK114" s="417"/>
      <c r="BL114" s="417"/>
      <c r="BM114" s="417"/>
      <c r="BN114" s="417"/>
      <c r="BO114" s="417"/>
      <c r="BP114" s="417"/>
      <c r="BQ114" s="417"/>
      <c r="BR114" s="417"/>
      <c r="BS114" s="417"/>
      <c r="BT114" s="417"/>
      <c r="BU114" s="417"/>
      <c r="BV114" s="417"/>
      <c r="BW114" s="417"/>
      <c r="BX114" s="417"/>
      <c r="BY114" s="417"/>
      <c r="BZ114" s="417"/>
    </row>
    <row r="115" spans="1:78" s="125" customFormat="1" ht="12.75" customHeight="1" x14ac:dyDescent="0.2">
      <c r="A115" s="529"/>
      <c r="B115" s="530" t="str">
        <f>IF(Stammblatt!$L$4=1,'Kalkulation Herstellungskosten'!AP115,'Kalkulation Herstellungskosten'!AQ115)</f>
        <v xml:space="preserve">Wochenpauschale (§ 7 KV) </v>
      </c>
      <c r="C115" s="118">
        <v>0</v>
      </c>
      <c r="D115" s="545"/>
      <c r="E115" s="119"/>
      <c r="F115" s="548">
        <f t="shared" si="51"/>
        <v>0</v>
      </c>
      <c r="G115" s="1160"/>
      <c r="H115" s="120">
        <f>IF(Stammblatt!$I$9=TRUE,Kollektivvertrag!$E$59,Kollektivvertrag!E55)</f>
        <v>1205.6559993528501</v>
      </c>
      <c r="I115" s="1164"/>
      <c r="J115" s="554"/>
      <c r="K115" s="555"/>
      <c r="L115" s="492"/>
      <c r="M115" s="492"/>
      <c r="N115" s="445"/>
      <c r="O115" s="1156"/>
      <c r="P115" s="1162"/>
      <c r="Q115" s="1170"/>
      <c r="R115" s="1156"/>
      <c r="S115" s="751"/>
      <c r="T115" s="1156"/>
      <c r="U115" s="1156"/>
      <c r="V115" s="1158"/>
      <c r="W115" s="1158"/>
      <c r="X115" s="1156"/>
      <c r="Y115" s="1162"/>
      <c r="Z115" s="1170"/>
      <c r="AA115" s="1156"/>
      <c r="AB115" s="391"/>
      <c r="AC115" s="447"/>
      <c r="AD115" s="1154"/>
      <c r="AE115" s="1154"/>
      <c r="AF115" s="1152"/>
      <c r="AG115" s="1160"/>
      <c r="AH115" s="414"/>
      <c r="AI115" s="558">
        <f>IF(AJ115=TRUE,H115*0.8,H115)</f>
        <v>1205.6559993528501</v>
      </c>
      <c r="AJ115" s="414" t="b">
        <v>0</v>
      </c>
      <c r="AK115" s="416">
        <f t="shared" si="56"/>
        <v>1446.7871992234202</v>
      </c>
      <c r="AL115" s="416">
        <f t="shared" si="57"/>
        <v>1567.3527991587052</v>
      </c>
      <c r="AM115" s="416"/>
      <c r="AN115" s="416"/>
      <c r="AO115" s="419"/>
      <c r="AP115" s="258" t="s">
        <v>45</v>
      </c>
      <c r="AQ115" s="258" t="s">
        <v>351</v>
      </c>
      <c r="AR115" s="417"/>
      <c r="AS115" s="281"/>
      <c r="AT115" s="281"/>
      <c r="AU115" s="417"/>
      <c r="AV115" s="417"/>
      <c r="AW115" s="420"/>
      <c r="AX115" s="417"/>
      <c r="AY115" s="417"/>
      <c r="AZ115" s="417"/>
      <c r="BA115" s="417"/>
      <c r="BB115" s="417"/>
      <c r="BC115" s="417"/>
      <c r="BD115" s="417"/>
      <c r="BE115" s="417"/>
      <c r="BF115" s="417"/>
      <c r="BG115" s="417"/>
      <c r="BH115" s="417"/>
      <c r="BI115" s="417"/>
      <c r="BJ115" s="417"/>
      <c r="BK115" s="417"/>
      <c r="BL115" s="417"/>
      <c r="BM115" s="417"/>
      <c r="BN115" s="417"/>
      <c r="BO115" s="417"/>
      <c r="BP115" s="417"/>
      <c r="BQ115" s="417"/>
      <c r="BR115" s="417"/>
      <c r="BS115" s="417"/>
      <c r="BT115" s="417"/>
      <c r="BU115" s="417"/>
      <c r="BV115" s="417"/>
      <c r="BW115" s="417"/>
      <c r="BX115" s="417"/>
      <c r="BY115" s="417"/>
      <c r="BZ115" s="417"/>
    </row>
    <row r="116" spans="1:78" s="125" customFormat="1" ht="12.75" customHeight="1" x14ac:dyDescent="0.2">
      <c r="A116" s="531">
        <v>57</v>
      </c>
      <c r="B116" s="528" t="str">
        <f>IF(Stammblatt!$L$4=1,'Kalkulation Herstellungskosten'!AP116,'Kalkulation Herstellungskosten'!AQ116)</f>
        <v>Beleuchter*in</v>
      </c>
      <c r="C116" s="123">
        <v>0</v>
      </c>
      <c r="D116" s="544"/>
      <c r="E116" s="128"/>
      <c r="F116" s="547">
        <f t="shared" si="51"/>
        <v>0</v>
      </c>
      <c r="G116" s="1159">
        <f>C116*E116+C117*E117</f>
        <v>0</v>
      </c>
      <c r="H116" s="124">
        <f>IF(Stammblatt!$I$9=TRUE,Kollektivvertrag!$C$59,Kollektivvertrag!C55)</f>
        <v>870.50974682516244</v>
      </c>
      <c r="I116" s="1163"/>
      <c r="J116" s="817"/>
      <c r="K116" s="817"/>
      <c r="L116" s="815">
        <f>G116*J116</f>
        <v>0</v>
      </c>
      <c r="M116" s="816">
        <f>G116*K116</f>
        <v>0</v>
      </c>
      <c r="N116" s="820" t="str">
        <f t="shared" ref="N116" si="66">IF((L116+M116)&gt;G116,"?","")</f>
        <v/>
      </c>
      <c r="O116" s="1155"/>
      <c r="P116" s="1161"/>
      <c r="Q116" s="1169"/>
      <c r="R116" s="1155"/>
      <c r="S116" s="751"/>
      <c r="T116" s="1155"/>
      <c r="U116" s="1155"/>
      <c r="V116" s="1157">
        <f>SUM(T116:U117)</f>
        <v>0</v>
      </c>
      <c r="W116" s="1157">
        <f>G116-V116</f>
        <v>0</v>
      </c>
      <c r="X116" s="1155"/>
      <c r="Y116" s="1161"/>
      <c r="Z116" s="1169"/>
      <c r="AA116" s="1155"/>
      <c r="AB116" s="391"/>
      <c r="AC116" s="447"/>
      <c r="AD116" s="1153"/>
      <c r="AE116" s="1153"/>
      <c r="AF116" s="1151"/>
      <c r="AG116" s="1159">
        <f>SUM(G116,AD116:AF117)</f>
        <v>0</v>
      </c>
      <c r="AH116" s="414"/>
      <c r="AI116" s="558">
        <f>IF(AJ117=TRUE,H116*0.8,H116)</f>
        <v>870.50974682516244</v>
      </c>
      <c r="AJ116" s="414"/>
      <c r="AK116" s="416">
        <f t="shared" si="56"/>
        <v>1044.6116961901948</v>
      </c>
      <c r="AL116" s="416">
        <f t="shared" si="57"/>
        <v>1131.6626708727113</v>
      </c>
      <c r="AM116" s="416"/>
      <c r="AN116" s="416"/>
      <c r="AO116" s="416"/>
      <c r="AP116" s="258" t="s">
        <v>1053</v>
      </c>
      <c r="AQ116" s="258" t="s">
        <v>338</v>
      </c>
      <c r="AR116" s="417"/>
      <c r="AS116" s="281"/>
      <c r="AT116" s="281"/>
      <c r="AU116" s="417"/>
      <c r="AV116" s="417"/>
      <c r="AW116" s="417"/>
      <c r="AX116" s="417"/>
      <c r="AY116" s="417"/>
      <c r="AZ116" s="417"/>
      <c r="BA116" s="417"/>
      <c r="BB116" s="417"/>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row>
    <row r="117" spans="1:78" s="125" customFormat="1" ht="12.75" customHeight="1" x14ac:dyDescent="0.2">
      <c r="A117" s="529"/>
      <c r="B117" s="530" t="str">
        <f>IF(Stammblatt!$L$4=1,'Kalkulation Herstellungskosten'!AP117,'Kalkulation Herstellungskosten'!AQ117)</f>
        <v xml:space="preserve">Wochenpauschale (§ 7 KV) </v>
      </c>
      <c r="C117" s="118">
        <v>0</v>
      </c>
      <c r="D117" s="545"/>
      <c r="E117" s="119"/>
      <c r="F117" s="548">
        <f t="shared" si="51"/>
        <v>0</v>
      </c>
      <c r="G117" s="1160"/>
      <c r="H117" s="120">
        <f>IF(Stammblatt!$I$9=TRUE,Kollektivvertrag!$E$59,Kollektivvertrag!E55)</f>
        <v>1205.6559993528501</v>
      </c>
      <c r="I117" s="1164"/>
      <c r="J117" s="554"/>
      <c r="K117" s="555"/>
      <c r="L117" s="492"/>
      <c r="M117" s="492"/>
      <c r="N117" s="445"/>
      <c r="O117" s="1156"/>
      <c r="P117" s="1162"/>
      <c r="Q117" s="1170"/>
      <c r="R117" s="1156"/>
      <c r="S117" s="751"/>
      <c r="T117" s="1156"/>
      <c r="U117" s="1156"/>
      <c r="V117" s="1158"/>
      <c r="W117" s="1158"/>
      <c r="X117" s="1156"/>
      <c r="Y117" s="1162"/>
      <c r="Z117" s="1170"/>
      <c r="AA117" s="1156"/>
      <c r="AB117" s="391"/>
      <c r="AC117" s="447"/>
      <c r="AD117" s="1154"/>
      <c r="AE117" s="1154"/>
      <c r="AF117" s="1152"/>
      <c r="AG117" s="1160"/>
      <c r="AH117" s="414"/>
      <c r="AI117" s="558">
        <f>IF(AJ117=TRUE,H117*0.8,H117)</f>
        <v>1205.6559993528501</v>
      </c>
      <c r="AJ117" s="414" t="b">
        <v>0</v>
      </c>
      <c r="AK117" s="416">
        <f t="shared" si="56"/>
        <v>1446.7871992234202</v>
      </c>
      <c r="AL117" s="416">
        <f t="shared" si="57"/>
        <v>1567.3527991587052</v>
      </c>
      <c r="AM117" s="416"/>
      <c r="AN117" s="416"/>
      <c r="AO117" s="419"/>
      <c r="AP117" s="258" t="s">
        <v>45</v>
      </c>
      <c r="AQ117" s="258" t="s">
        <v>351</v>
      </c>
      <c r="AR117" s="417"/>
      <c r="AS117" s="281"/>
      <c r="AT117" s="281"/>
      <c r="AU117" s="417"/>
      <c r="AV117" s="417"/>
      <c r="AW117" s="420"/>
      <c r="AX117" s="417"/>
      <c r="AY117" s="417"/>
      <c r="AZ117" s="417"/>
      <c r="BA117" s="417"/>
      <c r="BB117" s="417"/>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row>
    <row r="118" spans="1:78" s="125" customFormat="1" ht="12.75" customHeight="1" x14ac:dyDescent="0.2">
      <c r="A118" s="531">
        <v>58</v>
      </c>
      <c r="B118" s="528" t="str">
        <f>IF(Stammblatt!$L$4=1,'Kalkulation Herstellungskosten'!AP118,'Kalkulation Herstellungskosten'!AQ118)</f>
        <v>Beleuchter*in</v>
      </c>
      <c r="C118" s="123">
        <v>0</v>
      </c>
      <c r="D118" s="544"/>
      <c r="E118" s="128"/>
      <c r="F118" s="547">
        <f t="shared" si="51"/>
        <v>0</v>
      </c>
      <c r="G118" s="1159">
        <f>C118*E118+C119*E119</f>
        <v>0</v>
      </c>
      <c r="H118" s="124">
        <f>IF(Stammblatt!$I$9=TRUE,Kollektivvertrag!$C$59,Kollektivvertrag!C55)</f>
        <v>870.50974682516244</v>
      </c>
      <c r="I118" s="1163"/>
      <c r="J118" s="817"/>
      <c r="K118" s="817"/>
      <c r="L118" s="815">
        <f>G118*J118</f>
        <v>0</v>
      </c>
      <c r="M118" s="816">
        <f>G118*K118</f>
        <v>0</v>
      </c>
      <c r="N118" s="820" t="str">
        <f t="shared" ref="N118" si="67">IF((L118+M118)&gt;G118,"?","")</f>
        <v/>
      </c>
      <c r="O118" s="1155"/>
      <c r="P118" s="1161"/>
      <c r="Q118" s="1169"/>
      <c r="R118" s="1155"/>
      <c r="S118" s="751"/>
      <c r="T118" s="1155"/>
      <c r="U118" s="1155"/>
      <c r="V118" s="1157">
        <f>SUM(T118:U119)</f>
        <v>0</v>
      </c>
      <c r="W118" s="1157">
        <f>G118-V118</f>
        <v>0</v>
      </c>
      <c r="X118" s="1155"/>
      <c r="Y118" s="1161"/>
      <c r="Z118" s="1169"/>
      <c r="AA118" s="1155"/>
      <c r="AB118" s="391"/>
      <c r="AC118" s="447"/>
      <c r="AD118" s="1153"/>
      <c r="AE118" s="1153"/>
      <c r="AF118" s="1151"/>
      <c r="AG118" s="1159">
        <f>SUM(G118,AD118:AF119)</f>
        <v>0</v>
      </c>
      <c r="AH118" s="414"/>
      <c r="AI118" s="558">
        <f>IF(AJ119=TRUE,H118*0.8,H118)</f>
        <v>870.50974682516244</v>
      </c>
      <c r="AJ118" s="414"/>
      <c r="AK118" s="416">
        <f t="shared" si="56"/>
        <v>1044.6116961901948</v>
      </c>
      <c r="AL118" s="416">
        <f t="shared" si="57"/>
        <v>1131.6626708727113</v>
      </c>
      <c r="AM118" s="416"/>
      <c r="AN118" s="416"/>
      <c r="AO118" s="416"/>
      <c r="AP118" s="258" t="s">
        <v>1053</v>
      </c>
      <c r="AQ118" s="258" t="s">
        <v>338</v>
      </c>
      <c r="AR118" s="417"/>
      <c r="AS118" s="281"/>
      <c r="AT118" s="281"/>
      <c r="AU118" s="417"/>
      <c r="AV118" s="417"/>
      <c r="AW118" s="417"/>
      <c r="AX118" s="417"/>
      <c r="AY118" s="417"/>
      <c r="AZ118" s="417"/>
      <c r="BA118" s="417"/>
      <c r="BB118" s="417"/>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row>
    <row r="119" spans="1:78" s="125" customFormat="1" ht="12.75" customHeight="1" x14ac:dyDescent="0.2">
      <c r="A119" s="529"/>
      <c r="B119" s="530" t="str">
        <f>IF(Stammblatt!$L$4=1,'Kalkulation Herstellungskosten'!AP119,'Kalkulation Herstellungskosten'!AQ119)</f>
        <v xml:space="preserve">Wochenpauschale (§ 7 KV) </v>
      </c>
      <c r="C119" s="118">
        <v>0</v>
      </c>
      <c r="D119" s="545"/>
      <c r="E119" s="119"/>
      <c r="F119" s="548">
        <f t="shared" si="51"/>
        <v>0</v>
      </c>
      <c r="G119" s="1160"/>
      <c r="H119" s="120">
        <f>IF(Stammblatt!$I$9=TRUE,Kollektivvertrag!$E$59,Kollektivvertrag!E55)</f>
        <v>1205.6559993528501</v>
      </c>
      <c r="I119" s="1164"/>
      <c r="J119" s="554"/>
      <c r="K119" s="555"/>
      <c r="L119" s="492"/>
      <c r="M119" s="492"/>
      <c r="N119" s="445"/>
      <c r="O119" s="1156"/>
      <c r="P119" s="1162"/>
      <c r="Q119" s="1170"/>
      <c r="R119" s="1156"/>
      <c r="S119" s="751"/>
      <c r="T119" s="1156"/>
      <c r="U119" s="1156"/>
      <c r="V119" s="1158"/>
      <c r="W119" s="1158"/>
      <c r="X119" s="1156"/>
      <c r="Y119" s="1162"/>
      <c r="Z119" s="1170"/>
      <c r="AA119" s="1156"/>
      <c r="AB119" s="391"/>
      <c r="AC119" s="447"/>
      <c r="AD119" s="1154"/>
      <c r="AE119" s="1154"/>
      <c r="AF119" s="1152"/>
      <c r="AG119" s="1160"/>
      <c r="AH119" s="414"/>
      <c r="AI119" s="558">
        <f>IF(AJ119=TRUE,H119*0.8,H119)</f>
        <v>1205.6559993528501</v>
      </c>
      <c r="AJ119" s="414" t="b">
        <v>0</v>
      </c>
      <c r="AK119" s="416">
        <f t="shared" si="56"/>
        <v>1446.7871992234202</v>
      </c>
      <c r="AL119" s="416">
        <f t="shared" si="57"/>
        <v>1567.3527991587052</v>
      </c>
      <c r="AM119" s="416"/>
      <c r="AN119" s="416"/>
      <c r="AO119" s="419"/>
      <c r="AP119" s="258" t="s">
        <v>45</v>
      </c>
      <c r="AQ119" s="258" t="s">
        <v>351</v>
      </c>
      <c r="AR119" s="417"/>
      <c r="AS119" s="281"/>
      <c r="AT119" s="281"/>
      <c r="AU119" s="417"/>
      <c r="AV119" s="417"/>
      <c r="AW119" s="420"/>
      <c r="AX119" s="417"/>
      <c r="AY119" s="417"/>
      <c r="AZ119" s="417"/>
      <c r="BA119" s="417"/>
      <c r="BB119" s="417"/>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row>
    <row r="120" spans="1:78" s="125" customFormat="1" ht="12.75" customHeight="1" x14ac:dyDescent="0.2">
      <c r="A120" s="531">
        <v>59</v>
      </c>
      <c r="B120" s="528" t="str">
        <f>IF(Stammblatt!$L$4=1,'Kalkulation Herstellungskosten'!AP120,'Kalkulation Herstellungskosten'!AQ120)</f>
        <v>Bühnenmeister*in</v>
      </c>
      <c r="C120" s="123">
        <v>0</v>
      </c>
      <c r="D120" s="544"/>
      <c r="E120" s="128"/>
      <c r="F120" s="547">
        <f t="shared" si="51"/>
        <v>0</v>
      </c>
      <c r="G120" s="1159">
        <f>C120*E120+C121*E121</f>
        <v>0</v>
      </c>
      <c r="H120" s="124">
        <f>IF(Stammblatt!$I$9=TRUE,Kollektivvertrag!$C$59,Kollektivvertrag!C54)</f>
        <v>1247.7893414649784</v>
      </c>
      <c r="I120" s="1163"/>
      <c r="J120" s="817"/>
      <c r="K120" s="817"/>
      <c r="L120" s="815">
        <f>G120*J120</f>
        <v>0</v>
      </c>
      <c r="M120" s="816">
        <f>G120*K120</f>
        <v>0</v>
      </c>
      <c r="N120" s="820" t="str">
        <f t="shared" ref="N120" si="68">IF((L120+M120)&gt;G120,"?","")</f>
        <v/>
      </c>
      <c r="O120" s="1155"/>
      <c r="P120" s="1161"/>
      <c r="Q120" s="1169"/>
      <c r="R120" s="1155"/>
      <c r="S120" s="751"/>
      <c r="T120" s="1155"/>
      <c r="U120" s="1155"/>
      <c r="V120" s="1157">
        <f>SUM(T120:U121)</f>
        <v>0</v>
      </c>
      <c r="W120" s="1157">
        <f>G120-V120</f>
        <v>0</v>
      </c>
      <c r="X120" s="1155"/>
      <c r="Y120" s="1161"/>
      <c r="Z120" s="1169"/>
      <c r="AA120" s="1155"/>
      <c r="AB120" s="391"/>
      <c r="AC120" s="447"/>
      <c r="AD120" s="1153"/>
      <c r="AE120" s="1153"/>
      <c r="AF120" s="1151"/>
      <c r="AG120" s="1159">
        <f>SUM(G120,AD120:AF121)</f>
        <v>0</v>
      </c>
      <c r="AH120" s="414"/>
      <c r="AI120" s="558">
        <f>IF(AJ121=TRUE,H120*0.8,H120)</f>
        <v>1247.7893414649784</v>
      </c>
      <c r="AJ120" s="414"/>
      <c r="AK120" s="416">
        <f t="shared" si="56"/>
        <v>1497.347209757974</v>
      </c>
      <c r="AL120" s="416">
        <f t="shared" si="57"/>
        <v>1622.126143904472</v>
      </c>
      <c r="AM120" s="416"/>
      <c r="AN120" s="416"/>
      <c r="AO120" s="416"/>
      <c r="AP120" s="258" t="s">
        <v>908</v>
      </c>
      <c r="AQ120" s="258" t="s">
        <v>385</v>
      </c>
      <c r="AR120" s="417"/>
      <c r="AS120" s="281"/>
      <c r="AT120" s="281"/>
      <c r="AU120" s="417"/>
      <c r="AV120" s="417"/>
      <c r="AW120" s="417"/>
      <c r="AX120" s="417"/>
      <c r="AY120" s="417"/>
      <c r="AZ120" s="417"/>
      <c r="BA120" s="417"/>
      <c r="BB120" s="417"/>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row>
    <row r="121" spans="1:78" s="125" customFormat="1" ht="12.75" customHeight="1" x14ac:dyDescent="0.2">
      <c r="A121" s="529"/>
      <c r="B121" s="530" t="str">
        <f>IF(Stammblatt!$L$4=1,'Kalkulation Herstellungskosten'!AP121,'Kalkulation Herstellungskosten'!AQ121)</f>
        <v xml:space="preserve">Wochenpauschale (§ 7 KV) </v>
      </c>
      <c r="C121" s="118">
        <v>0</v>
      </c>
      <c r="D121" s="545"/>
      <c r="E121" s="119"/>
      <c r="F121" s="548">
        <f t="shared" si="51"/>
        <v>0</v>
      </c>
      <c r="G121" s="1160"/>
      <c r="H121" s="120">
        <f>IF(Stammblatt!$I$9=TRUE,Kollektivvertrag!$E$59,Kollektivvertrag!E54)</f>
        <v>1728.1882379289952</v>
      </c>
      <c r="I121" s="1164"/>
      <c r="J121" s="554"/>
      <c r="K121" s="555"/>
      <c r="L121" s="492"/>
      <c r="M121" s="492"/>
      <c r="N121" s="445"/>
      <c r="O121" s="1156"/>
      <c r="P121" s="1162"/>
      <c r="Q121" s="1170"/>
      <c r="R121" s="1156"/>
      <c r="S121" s="751"/>
      <c r="T121" s="1156"/>
      <c r="U121" s="1156"/>
      <c r="V121" s="1158"/>
      <c r="W121" s="1158"/>
      <c r="X121" s="1156"/>
      <c r="Y121" s="1162"/>
      <c r="Z121" s="1170"/>
      <c r="AA121" s="1156"/>
      <c r="AB121" s="391"/>
      <c r="AC121" s="447"/>
      <c r="AD121" s="1154"/>
      <c r="AE121" s="1154"/>
      <c r="AF121" s="1152"/>
      <c r="AG121" s="1160"/>
      <c r="AH121" s="414"/>
      <c r="AI121" s="558">
        <f>IF(AJ121=TRUE,H121*0.8,H121)</f>
        <v>1728.1882379289952</v>
      </c>
      <c r="AJ121" s="414" t="b">
        <v>0</v>
      </c>
      <c r="AK121" s="416">
        <f t="shared" si="56"/>
        <v>2073.8258855147942</v>
      </c>
      <c r="AL121" s="416">
        <f t="shared" si="57"/>
        <v>2246.644709307694</v>
      </c>
      <c r="AM121" s="416"/>
      <c r="AN121" s="416"/>
      <c r="AO121" s="419"/>
      <c r="AP121" s="258" t="s">
        <v>45</v>
      </c>
      <c r="AQ121" s="258" t="s">
        <v>351</v>
      </c>
      <c r="AR121" s="417"/>
      <c r="AS121" s="281"/>
      <c r="AT121" s="281"/>
      <c r="AU121" s="417"/>
      <c r="AV121" s="417"/>
      <c r="AW121" s="420"/>
      <c r="AX121" s="417"/>
      <c r="AY121" s="417"/>
      <c r="AZ121" s="417"/>
      <c r="BA121" s="417"/>
      <c r="BB121" s="417"/>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row>
    <row r="122" spans="1:78" s="125" customFormat="1" ht="12.75" customHeight="1" x14ac:dyDescent="0.2">
      <c r="A122" s="531">
        <v>60</v>
      </c>
      <c r="B122" s="528" t="str">
        <f>IF(Stammblatt!$L$4=1,'Kalkulation Herstellungskosten'!AP122,'Kalkulation Herstellungskosten'!AQ122)</f>
        <v>Bühne</v>
      </c>
      <c r="C122" s="123">
        <v>0</v>
      </c>
      <c r="D122" s="544"/>
      <c r="E122" s="128"/>
      <c r="F122" s="547">
        <f t="shared" si="51"/>
        <v>0</v>
      </c>
      <c r="G122" s="1159">
        <f>C122*E122+C123*E123</f>
        <v>0</v>
      </c>
      <c r="H122" s="124">
        <f>IF(Stammblatt!$I$9=TRUE,Kollektivvertrag!$C$59,Kollektivvertrag!C55)</f>
        <v>870.50974682516244</v>
      </c>
      <c r="I122" s="1163"/>
      <c r="J122" s="817"/>
      <c r="K122" s="817"/>
      <c r="L122" s="815">
        <f>G122*J122</f>
        <v>0</v>
      </c>
      <c r="M122" s="816">
        <f>G122*K122</f>
        <v>0</v>
      </c>
      <c r="N122" s="820" t="str">
        <f t="shared" ref="N122" si="69">IF((L122+M122)&gt;G122,"?","")</f>
        <v/>
      </c>
      <c r="O122" s="1155"/>
      <c r="P122" s="1161"/>
      <c r="Q122" s="1169"/>
      <c r="R122" s="1155"/>
      <c r="S122" s="751"/>
      <c r="T122" s="1155"/>
      <c r="U122" s="1155"/>
      <c r="V122" s="1157">
        <f>SUM(T122:U123)</f>
        <v>0</v>
      </c>
      <c r="W122" s="1157">
        <f>G122-V122</f>
        <v>0</v>
      </c>
      <c r="X122" s="1155"/>
      <c r="Y122" s="1161"/>
      <c r="Z122" s="1169"/>
      <c r="AA122" s="1155"/>
      <c r="AB122" s="391"/>
      <c r="AC122" s="447"/>
      <c r="AD122" s="1153"/>
      <c r="AE122" s="1153"/>
      <c r="AF122" s="1151"/>
      <c r="AG122" s="1159">
        <f>SUM(G122,AD122:AF123)</f>
        <v>0</v>
      </c>
      <c r="AH122" s="414"/>
      <c r="AI122" s="558">
        <f>IF(AJ123=TRUE,H122*0.8,H122)</f>
        <v>870.50974682516244</v>
      </c>
      <c r="AJ122" s="414"/>
      <c r="AK122" s="416">
        <f t="shared" si="56"/>
        <v>1044.6116961901948</v>
      </c>
      <c r="AL122" s="416">
        <f t="shared" si="57"/>
        <v>1131.6626708727113</v>
      </c>
      <c r="AM122" s="416"/>
      <c r="AN122" s="416"/>
      <c r="AO122" s="416"/>
      <c r="AP122" s="258" t="s">
        <v>119</v>
      </c>
      <c r="AQ122" s="258" t="s">
        <v>339</v>
      </c>
      <c r="AR122" s="417"/>
      <c r="AS122" s="281"/>
      <c r="AT122" s="281"/>
      <c r="AU122" s="417"/>
      <c r="AV122" s="417"/>
      <c r="AW122" s="417"/>
      <c r="AX122" s="417"/>
      <c r="AY122" s="417"/>
      <c r="AZ122" s="417"/>
      <c r="BA122" s="417"/>
      <c r="BB122" s="417"/>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row>
    <row r="123" spans="1:78" s="125" customFormat="1" ht="12.75" customHeight="1" x14ac:dyDescent="0.2">
      <c r="A123" s="529"/>
      <c r="B123" s="530" t="str">
        <f>IF(Stammblatt!$L$4=1,'Kalkulation Herstellungskosten'!AP123,'Kalkulation Herstellungskosten'!AQ123)</f>
        <v xml:space="preserve">Wochenpauschale (§ 7 KV) </v>
      </c>
      <c r="C123" s="118">
        <v>0</v>
      </c>
      <c r="D123" s="545"/>
      <c r="E123" s="119"/>
      <c r="F123" s="548">
        <f t="shared" si="51"/>
        <v>0</v>
      </c>
      <c r="G123" s="1160"/>
      <c r="H123" s="120">
        <f>IF(Stammblatt!$I$9=TRUE,Kollektivvertrag!$E$59,Kollektivvertrag!E55)</f>
        <v>1205.6559993528501</v>
      </c>
      <c r="I123" s="1164"/>
      <c r="J123" s="554"/>
      <c r="K123" s="555"/>
      <c r="L123" s="492"/>
      <c r="M123" s="492"/>
      <c r="N123" s="445"/>
      <c r="O123" s="1156"/>
      <c r="P123" s="1162"/>
      <c r="Q123" s="1170"/>
      <c r="R123" s="1156"/>
      <c r="S123" s="751"/>
      <c r="T123" s="1156"/>
      <c r="U123" s="1156"/>
      <c r="V123" s="1158"/>
      <c r="W123" s="1158"/>
      <c r="X123" s="1156"/>
      <c r="Y123" s="1162"/>
      <c r="Z123" s="1170"/>
      <c r="AA123" s="1156"/>
      <c r="AB123" s="391"/>
      <c r="AC123" s="447"/>
      <c r="AD123" s="1154"/>
      <c r="AE123" s="1154"/>
      <c r="AF123" s="1152"/>
      <c r="AG123" s="1160"/>
      <c r="AH123" s="414"/>
      <c r="AI123" s="558">
        <f>IF(AJ123=TRUE,H123*0.8,H123)</f>
        <v>1205.6559993528501</v>
      </c>
      <c r="AJ123" s="414" t="b">
        <v>0</v>
      </c>
      <c r="AK123" s="416">
        <f t="shared" si="56"/>
        <v>1446.7871992234202</v>
      </c>
      <c r="AL123" s="416">
        <f t="shared" si="57"/>
        <v>1567.3527991587052</v>
      </c>
      <c r="AM123" s="416"/>
      <c r="AN123" s="416"/>
      <c r="AO123" s="419"/>
      <c r="AP123" s="258" t="s">
        <v>45</v>
      </c>
      <c r="AQ123" s="258" t="s">
        <v>351</v>
      </c>
      <c r="AR123" s="417"/>
      <c r="AS123" s="281"/>
      <c r="AT123" s="281"/>
      <c r="AU123" s="417"/>
      <c r="AV123" s="417"/>
      <c r="AW123" s="420"/>
      <c r="AX123" s="417"/>
      <c r="AY123" s="417"/>
      <c r="AZ123" s="417"/>
      <c r="BA123" s="417"/>
      <c r="BB123" s="417"/>
      <c r="BC123" s="417"/>
      <c r="BD123" s="417"/>
      <c r="BE123" s="417"/>
      <c r="BF123" s="417"/>
      <c r="BG123" s="417"/>
      <c r="BH123" s="417"/>
      <c r="BI123" s="417"/>
      <c r="BJ123" s="417"/>
      <c r="BK123" s="417"/>
      <c r="BL123" s="417"/>
      <c r="BM123" s="417"/>
      <c r="BN123" s="417"/>
      <c r="BO123" s="417"/>
      <c r="BP123" s="417"/>
      <c r="BQ123" s="417"/>
      <c r="BR123" s="417"/>
      <c r="BS123" s="417"/>
      <c r="BT123" s="417"/>
      <c r="BU123" s="417"/>
      <c r="BV123" s="417"/>
      <c r="BW123" s="417"/>
      <c r="BX123" s="417"/>
      <c r="BY123" s="417"/>
      <c r="BZ123" s="417"/>
    </row>
    <row r="124" spans="1:78" s="125" customFormat="1" ht="12.75" customHeight="1" x14ac:dyDescent="0.2">
      <c r="A124" s="531">
        <v>61</v>
      </c>
      <c r="B124" s="528" t="str">
        <f>IF(Stammblatt!$L$4=1,'Kalkulation Herstellungskosten'!AP124,'Kalkulation Herstellungskosten'!AQ124)</f>
        <v>Bühne</v>
      </c>
      <c r="C124" s="123">
        <v>0</v>
      </c>
      <c r="D124" s="544"/>
      <c r="E124" s="128"/>
      <c r="F124" s="547">
        <f t="shared" si="51"/>
        <v>0</v>
      </c>
      <c r="G124" s="1159">
        <f>C124*E124+C125*E125</f>
        <v>0</v>
      </c>
      <c r="H124" s="124">
        <f>IF(Stammblatt!$I$9=TRUE,Kollektivvertrag!$C$59,Kollektivvertrag!C55)</f>
        <v>870.50974682516244</v>
      </c>
      <c r="I124" s="1163"/>
      <c r="J124" s="817"/>
      <c r="K124" s="817"/>
      <c r="L124" s="815">
        <f>G124*J124</f>
        <v>0</v>
      </c>
      <c r="M124" s="816">
        <f>G124*K124</f>
        <v>0</v>
      </c>
      <c r="N124" s="820" t="str">
        <f t="shared" ref="N124" si="70">IF((L124+M124)&gt;G124,"?","")</f>
        <v/>
      </c>
      <c r="O124" s="1155"/>
      <c r="P124" s="1161"/>
      <c r="Q124" s="1169"/>
      <c r="R124" s="1155"/>
      <c r="S124" s="751"/>
      <c r="T124" s="1155"/>
      <c r="U124" s="1155"/>
      <c r="V124" s="1157">
        <f>SUM(T124:U125)</f>
        <v>0</v>
      </c>
      <c r="W124" s="1157">
        <f>G124-V124</f>
        <v>0</v>
      </c>
      <c r="X124" s="1155"/>
      <c r="Y124" s="1161"/>
      <c r="Z124" s="1169"/>
      <c r="AA124" s="1155"/>
      <c r="AB124" s="391"/>
      <c r="AC124" s="447"/>
      <c r="AD124" s="1153"/>
      <c r="AE124" s="1153"/>
      <c r="AF124" s="1151"/>
      <c r="AG124" s="1159">
        <f>SUM(G124,AD124:AF125)</f>
        <v>0</v>
      </c>
      <c r="AH124" s="414"/>
      <c r="AI124" s="558">
        <f>IF(AJ125=TRUE,H124*0.8,H124)</f>
        <v>870.50974682516244</v>
      </c>
      <c r="AJ124" s="414"/>
      <c r="AK124" s="416">
        <f t="shared" si="56"/>
        <v>1044.6116961901948</v>
      </c>
      <c r="AL124" s="416">
        <f t="shared" si="57"/>
        <v>1131.6626708727113</v>
      </c>
      <c r="AM124" s="416"/>
      <c r="AN124" s="416"/>
      <c r="AO124" s="416"/>
      <c r="AP124" s="258" t="s">
        <v>119</v>
      </c>
      <c r="AQ124" s="258" t="s">
        <v>339</v>
      </c>
      <c r="AR124" s="417"/>
      <c r="AS124" s="281"/>
      <c r="AT124" s="281"/>
      <c r="AU124" s="417"/>
      <c r="AV124" s="417"/>
      <c r="AW124" s="417"/>
      <c r="AX124" s="417"/>
      <c r="AY124" s="417"/>
      <c r="AZ124" s="417"/>
      <c r="BA124" s="417"/>
      <c r="BB124" s="417"/>
      <c r="BC124" s="417"/>
      <c r="BD124" s="417"/>
      <c r="BE124" s="417"/>
      <c r="BF124" s="417"/>
      <c r="BG124" s="417"/>
      <c r="BH124" s="417"/>
      <c r="BI124" s="417"/>
      <c r="BJ124" s="417"/>
      <c r="BK124" s="417"/>
      <c r="BL124" s="417"/>
      <c r="BM124" s="417"/>
      <c r="BN124" s="417"/>
      <c r="BO124" s="417"/>
      <c r="BP124" s="417"/>
      <c r="BQ124" s="417"/>
      <c r="BR124" s="417"/>
      <c r="BS124" s="417"/>
      <c r="BT124" s="417"/>
      <c r="BU124" s="417"/>
      <c r="BV124" s="417"/>
      <c r="BW124" s="417"/>
      <c r="BX124" s="417"/>
      <c r="BY124" s="417"/>
      <c r="BZ124" s="417"/>
    </row>
    <row r="125" spans="1:78" s="125" customFormat="1" ht="12.75" customHeight="1" x14ac:dyDescent="0.2">
      <c r="A125" s="529"/>
      <c r="B125" s="530" t="str">
        <f>IF(Stammblatt!$L$4=1,'Kalkulation Herstellungskosten'!AP125,'Kalkulation Herstellungskosten'!AQ125)</f>
        <v xml:space="preserve">Wochenpauschale (§ 7 KV) </v>
      </c>
      <c r="C125" s="118">
        <v>0</v>
      </c>
      <c r="D125" s="545"/>
      <c r="E125" s="119"/>
      <c r="F125" s="548">
        <f t="shared" si="51"/>
        <v>0</v>
      </c>
      <c r="G125" s="1160"/>
      <c r="H125" s="120">
        <f>IF(Stammblatt!$I$9=TRUE,Kollektivvertrag!$E$59,Kollektivvertrag!E55)</f>
        <v>1205.6559993528501</v>
      </c>
      <c r="I125" s="1164"/>
      <c r="J125" s="554"/>
      <c r="K125" s="555"/>
      <c r="L125" s="492"/>
      <c r="M125" s="492"/>
      <c r="N125" s="445"/>
      <c r="O125" s="1156"/>
      <c r="P125" s="1162"/>
      <c r="Q125" s="1170"/>
      <c r="R125" s="1156"/>
      <c r="S125" s="751"/>
      <c r="T125" s="1156"/>
      <c r="U125" s="1156"/>
      <c r="V125" s="1158"/>
      <c r="W125" s="1158"/>
      <c r="X125" s="1156"/>
      <c r="Y125" s="1162"/>
      <c r="Z125" s="1170"/>
      <c r="AA125" s="1156"/>
      <c r="AB125" s="391"/>
      <c r="AC125" s="447"/>
      <c r="AD125" s="1154"/>
      <c r="AE125" s="1154"/>
      <c r="AF125" s="1152"/>
      <c r="AG125" s="1160"/>
      <c r="AH125" s="414"/>
      <c r="AI125" s="558">
        <f>IF(AJ125=TRUE,H125*0.8,H125)</f>
        <v>1205.6559993528501</v>
      </c>
      <c r="AJ125" s="414" t="b">
        <v>0</v>
      </c>
      <c r="AK125" s="416">
        <f t="shared" si="56"/>
        <v>1446.7871992234202</v>
      </c>
      <c r="AL125" s="416">
        <f t="shared" si="57"/>
        <v>1567.3527991587052</v>
      </c>
      <c r="AM125" s="416"/>
      <c r="AN125" s="416"/>
      <c r="AO125" s="419"/>
      <c r="AP125" s="258" t="s">
        <v>45</v>
      </c>
      <c r="AQ125" s="258" t="s">
        <v>351</v>
      </c>
      <c r="AR125" s="417"/>
      <c r="AS125" s="281"/>
      <c r="AT125" s="281"/>
      <c r="AU125" s="417"/>
      <c r="AV125" s="417"/>
      <c r="AW125" s="420"/>
      <c r="AX125" s="417"/>
      <c r="AY125" s="417"/>
      <c r="AZ125" s="417"/>
      <c r="BA125" s="417"/>
      <c r="BB125" s="417"/>
      <c r="BC125" s="417"/>
      <c r="BD125" s="417"/>
      <c r="BE125" s="417"/>
      <c r="BF125" s="417"/>
      <c r="BG125" s="417"/>
      <c r="BH125" s="417"/>
      <c r="BI125" s="417"/>
      <c r="BJ125" s="417"/>
      <c r="BK125" s="417"/>
      <c r="BL125" s="417"/>
      <c r="BM125" s="417"/>
      <c r="BN125" s="417"/>
      <c r="BO125" s="417"/>
      <c r="BP125" s="417"/>
      <c r="BQ125" s="417"/>
      <c r="BR125" s="417"/>
      <c r="BS125" s="417"/>
      <c r="BT125" s="417"/>
      <c r="BU125" s="417"/>
      <c r="BV125" s="417"/>
      <c r="BW125" s="417"/>
      <c r="BX125" s="417"/>
      <c r="BY125" s="417"/>
      <c r="BZ125" s="417"/>
    </row>
    <row r="126" spans="1:78" s="125" customFormat="1" ht="12.75" customHeight="1" x14ac:dyDescent="0.2">
      <c r="A126" s="531">
        <v>62</v>
      </c>
      <c r="B126" s="528" t="str">
        <f>IF(Stammblatt!$L$4=1,'Kalkulation Herstellungskosten'!AP126,'Kalkulation Herstellungskosten'!AQ126)</f>
        <v>Bühne</v>
      </c>
      <c r="C126" s="123">
        <v>0</v>
      </c>
      <c r="D126" s="544"/>
      <c r="E126" s="128"/>
      <c r="F126" s="547">
        <f t="shared" si="51"/>
        <v>0</v>
      </c>
      <c r="G126" s="1159">
        <f>C126*E126+C127*E127</f>
        <v>0</v>
      </c>
      <c r="H126" s="124">
        <f>IF(Stammblatt!$I$9=TRUE,Kollektivvertrag!$C$59,Kollektivvertrag!C55)</f>
        <v>870.50974682516244</v>
      </c>
      <c r="I126" s="1163"/>
      <c r="J126" s="817"/>
      <c r="K126" s="817"/>
      <c r="L126" s="815">
        <f>G126*J126</f>
        <v>0</v>
      </c>
      <c r="M126" s="816">
        <f>G126*K126</f>
        <v>0</v>
      </c>
      <c r="N126" s="820" t="str">
        <f t="shared" ref="N126" si="71">IF((L126+M126)&gt;G126,"?","")</f>
        <v/>
      </c>
      <c r="O126" s="1155"/>
      <c r="P126" s="1161"/>
      <c r="Q126" s="1169"/>
      <c r="R126" s="1155"/>
      <c r="S126" s="751"/>
      <c r="T126" s="1155"/>
      <c r="U126" s="1155"/>
      <c r="V126" s="1157">
        <f>SUM(T126:U127)</f>
        <v>0</v>
      </c>
      <c r="W126" s="1157">
        <f>G126-V126</f>
        <v>0</v>
      </c>
      <c r="X126" s="1155"/>
      <c r="Y126" s="1161"/>
      <c r="Z126" s="1169"/>
      <c r="AA126" s="1155"/>
      <c r="AB126" s="391"/>
      <c r="AC126" s="447"/>
      <c r="AD126" s="1153"/>
      <c r="AE126" s="1153"/>
      <c r="AF126" s="1151"/>
      <c r="AG126" s="1159">
        <f>SUM(G126,AD126:AF127)</f>
        <v>0</v>
      </c>
      <c r="AH126" s="414"/>
      <c r="AI126" s="558">
        <f>IF(AJ127=TRUE,H126*0.8,H126)</f>
        <v>870.50974682516244</v>
      </c>
      <c r="AJ126" s="414"/>
      <c r="AK126" s="416">
        <f t="shared" si="56"/>
        <v>1044.6116961901948</v>
      </c>
      <c r="AL126" s="416">
        <f t="shared" si="57"/>
        <v>1131.6626708727113</v>
      </c>
      <c r="AM126" s="416"/>
      <c r="AN126" s="416"/>
      <c r="AO126" s="416"/>
      <c r="AP126" s="258" t="s">
        <v>119</v>
      </c>
      <c r="AQ126" s="258" t="s">
        <v>360</v>
      </c>
      <c r="AR126" s="417"/>
      <c r="AS126" s="281"/>
      <c r="AT126" s="281"/>
      <c r="AU126" s="417"/>
      <c r="AV126" s="417"/>
      <c r="AW126" s="417"/>
      <c r="AX126" s="417"/>
      <c r="AY126" s="417"/>
      <c r="AZ126" s="417"/>
      <c r="BA126" s="417"/>
      <c r="BB126" s="417"/>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row>
    <row r="127" spans="1:78" s="125" customFormat="1" ht="12.75" customHeight="1" x14ac:dyDescent="0.2">
      <c r="A127" s="529"/>
      <c r="B127" s="530" t="str">
        <f>IF(Stammblatt!$L$4=1,'Kalkulation Herstellungskosten'!AP127,'Kalkulation Herstellungskosten'!AQ127)</f>
        <v xml:space="preserve">Wochenpauschale (§ 7 KV) </v>
      </c>
      <c r="C127" s="118">
        <v>0</v>
      </c>
      <c r="D127" s="545"/>
      <c r="E127" s="119"/>
      <c r="F127" s="548">
        <f t="shared" si="51"/>
        <v>0</v>
      </c>
      <c r="G127" s="1160"/>
      <c r="H127" s="120">
        <f>IF(Stammblatt!$I$9=TRUE,Kollektivvertrag!$E$59,Kollektivvertrag!E55)</f>
        <v>1205.6559993528501</v>
      </c>
      <c r="I127" s="1164"/>
      <c r="J127" s="554"/>
      <c r="K127" s="555"/>
      <c r="L127" s="492"/>
      <c r="M127" s="492"/>
      <c r="N127" s="445"/>
      <c r="O127" s="1156"/>
      <c r="P127" s="1162"/>
      <c r="Q127" s="1170"/>
      <c r="R127" s="1156"/>
      <c r="S127" s="751"/>
      <c r="T127" s="1156"/>
      <c r="U127" s="1156"/>
      <c r="V127" s="1158"/>
      <c r="W127" s="1158"/>
      <c r="X127" s="1156"/>
      <c r="Y127" s="1162"/>
      <c r="Z127" s="1170"/>
      <c r="AA127" s="1156"/>
      <c r="AB127" s="391"/>
      <c r="AC127" s="447"/>
      <c r="AD127" s="1154"/>
      <c r="AE127" s="1154"/>
      <c r="AF127" s="1152"/>
      <c r="AG127" s="1160"/>
      <c r="AH127" s="414"/>
      <c r="AI127" s="558">
        <f>IF(AJ127=TRUE,H127*0.8,H127)</f>
        <v>1205.6559993528501</v>
      </c>
      <c r="AJ127" s="414" t="b">
        <v>0</v>
      </c>
      <c r="AK127" s="416">
        <f t="shared" si="56"/>
        <v>1446.7871992234202</v>
      </c>
      <c r="AL127" s="416">
        <f t="shared" si="57"/>
        <v>1567.3527991587052</v>
      </c>
      <c r="AM127" s="416"/>
      <c r="AN127" s="416"/>
      <c r="AO127" s="419"/>
      <c r="AP127" s="258" t="s">
        <v>45</v>
      </c>
      <c r="AQ127" s="258" t="s">
        <v>351</v>
      </c>
      <c r="AR127" s="417"/>
      <c r="AS127" s="281"/>
      <c r="AT127" s="281"/>
      <c r="AU127" s="417"/>
      <c r="AV127" s="417"/>
      <c r="AW127" s="420"/>
      <c r="AX127" s="417"/>
      <c r="AY127" s="417"/>
      <c r="AZ127" s="417"/>
      <c r="BA127" s="417"/>
      <c r="BB127" s="417"/>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row>
    <row r="128" spans="1:78" s="125" customFormat="1" ht="12.75" customHeight="1" x14ac:dyDescent="0.2">
      <c r="A128" s="531">
        <v>63</v>
      </c>
      <c r="B128" s="528" t="str">
        <f>IF(Stammblatt!$L$4=1,'Kalkulation Herstellungskosten'!AP128,'Kalkulation Herstellungskosten'!AQ128)</f>
        <v>Musikaufnahmeleiter*in</v>
      </c>
      <c r="C128" s="123">
        <v>0</v>
      </c>
      <c r="D128" s="544"/>
      <c r="E128" s="128"/>
      <c r="F128" s="547">
        <f>E128</f>
        <v>0</v>
      </c>
      <c r="G128" s="1159">
        <f>C128*E128+C129*E129</f>
        <v>0</v>
      </c>
      <c r="H128" s="124">
        <f ca="1">IF(AND(Stammblatt!$I$9=TRUE,GHSTK&lt;=1220000),Kollektivvertrag!$C$59,IF(AND(Stammblatt!$I$9=TRUE,GHSTK&lt;=1570000),Kollektivvertrag!C20/2,Kollektivvertrag!C20))</f>
        <v>1339.6947870648225</v>
      </c>
      <c r="I128" s="1163"/>
      <c r="J128" s="817"/>
      <c r="K128" s="817"/>
      <c r="L128" s="815">
        <f>G128*J128</f>
        <v>0</v>
      </c>
      <c r="M128" s="816">
        <f>G128*K128</f>
        <v>0</v>
      </c>
      <c r="N128" s="820" t="str">
        <f t="shared" ref="N128" si="72">IF((L128+M128)&gt;G128,"?","")</f>
        <v/>
      </c>
      <c r="O128" s="1155"/>
      <c r="P128" s="1161"/>
      <c r="Q128" s="1169"/>
      <c r="R128" s="1155"/>
      <c r="S128" s="751"/>
      <c r="T128" s="1155"/>
      <c r="U128" s="1155"/>
      <c r="V128" s="1157">
        <f>SUM(T128:U129)</f>
        <v>0</v>
      </c>
      <c r="W128" s="1157">
        <f>G128-V128</f>
        <v>0</v>
      </c>
      <c r="X128" s="1155"/>
      <c r="Y128" s="1161"/>
      <c r="Z128" s="1169"/>
      <c r="AA128" s="1155"/>
      <c r="AB128" s="391"/>
      <c r="AC128" s="447"/>
      <c r="AD128" s="1153"/>
      <c r="AE128" s="1153"/>
      <c r="AF128" s="1151"/>
      <c r="AG128" s="1159">
        <f>SUM(G128,AD128:AF129)</f>
        <v>0</v>
      </c>
      <c r="AH128" s="414"/>
      <c r="AI128" s="558">
        <f ca="1">IF(AJ129=TRUE,H128*0.8,H128)</f>
        <v>1339.6947870648225</v>
      </c>
      <c r="AJ128" s="414"/>
      <c r="AK128" s="416">
        <f t="shared" ca="1" si="56"/>
        <v>1607.6337444777871</v>
      </c>
      <c r="AL128" s="416">
        <f t="shared" ca="1" si="57"/>
        <v>1741.6032231842694</v>
      </c>
      <c r="AM128" s="416"/>
      <c r="AN128" s="416"/>
      <c r="AO128" s="416"/>
      <c r="AP128" s="258" t="s">
        <v>1054</v>
      </c>
      <c r="AQ128" s="258" t="s">
        <v>386</v>
      </c>
      <c r="AR128" s="417"/>
      <c r="AS128" s="281"/>
      <c r="AT128" s="281"/>
      <c r="AU128" s="417"/>
      <c r="AV128" s="417"/>
      <c r="AW128" s="417"/>
      <c r="AX128" s="417"/>
      <c r="AY128" s="417"/>
      <c r="AZ128" s="417"/>
      <c r="BA128" s="417"/>
      <c r="BB128" s="417"/>
      <c r="BC128" s="417"/>
      <c r="BD128" s="417"/>
      <c r="BE128" s="417"/>
      <c r="BF128" s="417"/>
      <c r="BG128" s="417"/>
      <c r="BH128" s="417"/>
      <c r="BI128" s="417"/>
      <c r="BJ128" s="417"/>
      <c r="BK128" s="417"/>
      <c r="BL128" s="417"/>
      <c r="BM128" s="417"/>
      <c r="BN128" s="417"/>
      <c r="BO128" s="417"/>
      <c r="BP128" s="417"/>
      <c r="BQ128" s="417"/>
      <c r="BR128" s="417"/>
      <c r="BS128" s="417"/>
      <c r="BT128" s="417"/>
      <c r="BU128" s="417"/>
      <c r="BV128" s="417"/>
      <c r="BW128" s="417"/>
      <c r="BX128" s="417"/>
      <c r="BY128" s="417"/>
      <c r="BZ128" s="417"/>
    </row>
    <row r="129" spans="1:78" s="125" customFormat="1" ht="12.75" customHeight="1" x14ac:dyDescent="0.2">
      <c r="A129" s="529"/>
      <c r="B129" s="530" t="str">
        <f>IF(Stammblatt!$L$4=1,'Kalkulation Herstellungskosten'!AP129,'Kalkulation Herstellungskosten'!AQ129)</f>
        <v xml:space="preserve">Wochenpauschale (§ 7 KV) </v>
      </c>
      <c r="C129" s="118">
        <v>0</v>
      </c>
      <c r="D129" s="545"/>
      <c r="E129" s="119"/>
      <c r="F129" s="548">
        <f>E129</f>
        <v>0</v>
      </c>
      <c r="G129" s="1160"/>
      <c r="H129" s="120">
        <f ca="1">IF(AND(Stammblatt!$I$9=TRUE,GHSTK&lt;=1220000),Kollektivvertrag!$E$59,IF(AND(Stammblatt!$I$9=TRUE,GHSTK&lt;=1570000),Kollektivvertrag!E20/2,Kollektivvertrag!E20))</f>
        <v>1855.4772800847793</v>
      </c>
      <c r="I129" s="1164"/>
      <c r="J129" s="554"/>
      <c r="K129" s="555"/>
      <c r="L129" s="492"/>
      <c r="M129" s="492"/>
      <c r="N129" s="445"/>
      <c r="O129" s="1156"/>
      <c r="P129" s="1162"/>
      <c r="Q129" s="1170"/>
      <c r="R129" s="1156"/>
      <c r="S129" s="751"/>
      <c r="T129" s="1156"/>
      <c r="U129" s="1156"/>
      <c r="V129" s="1158"/>
      <c r="W129" s="1158"/>
      <c r="X129" s="1156"/>
      <c r="Y129" s="1162"/>
      <c r="Z129" s="1170"/>
      <c r="AA129" s="1156"/>
      <c r="AB129" s="391"/>
      <c r="AC129" s="447"/>
      <c r="AD129" s="1154"/>
      <c r="AE129" s="1154"/>
      <c r="AF129" s="1152"/>
      <c r="AG129" s="1160"/>
      <c r="AH129" s="414"/>
      <c r="AI129" s="558">
        <f ca="1">IF(AJ129=TRUE,H129*0.8,H129)</f>
        <v>1855.4772800847793</v>
      </c>
      <c r="AJ129" s="414" t="b">
        <v>0</v>
      </c>
      <c r="AK129" s="416">
        <f t="shared" ca="1" si="56"/>
        <v>2226.5727361017352</v>
      </c>
      <c r="AL129" s="416">
        <f t="shared" ca="1" si="57"/>
        <v>2412.1204641102131</v>
      </c>
      <c r="AM129" s="416"/>
      <c r="AN129" s="416"/>
      <c r="AO129" s="419"/>
      <c r="AP129" s="258" t="s">
        <v>45</v>
      </c>
      <c r="AQ129" s="258" t="s">
        <v>351</v>
      </c>
      <c r="AR129" s="417"/>
      <c r="AS129" s="281"/>
      <c r="AT129" s="281"/>
      <c r="AU129" s="417"/>
      <c r="AV129" s="417"/>
      <c r="AW129" s="420"/>
      <c r="AX129" s="417"/>
      <c r="AY129" s="417"/>
      <c r="AZ129" s="417"/>
      <c r="BA129" s="417"/>
      <c r="BB129" s="417"/>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row>
    <row r="130" spans="1:78" s="125" customFormat="1" ht="12.75" customHeight="1" x14ac:dyDescent="0.2">
      <c r="A130" s="531">
        <v>64</v>
      </c>
      <c r="B130" s="528" t="str">
        <f>IF(Stammblatt!$L$4=1,'Kalkulation Herstellungskosten'!AP130,'Kalkulation Herstellungskosten'!AQ130)</f>
        <v>Synchronregie</v>
      </c>
      <c r="C130" s="123">
        <v>0</v>
      </c>
      <c r="D130" s="544"/>
      <c r="E130" s="128"/>
      <c r="F130" s="547">
        <f>E130</f>
        <v>0</v>
      </c>
      <c r="G130" s="1159">
        <f>C130*E130+C131*E131</f>
        <v>0</v>
      </c>
      <c r="H130" s="124">
        <f ca="1">IF(AND(Stammblatt!$I$9=TRUE,GHSTK&lt;=1220000),Kollektivvertrag!$C$59,IF(AND(Stammblatt!$I$9=TRUE,GHSTK&lt;=1570000),Kollektivvertrag!C25/2,Kollektivvertrag!C25))</f>
        <v>2414.8365320668586</v>
      </c>
      <c r="I130" s="1163"/>
      <c r="J130" s="817"/>
      <c r="K130" s="817"/>
      <c r="L130" s="815">
        <f>G130*J130</f>
        <v>0</v>
      </c>
      <c r="M130" s="816">
        <f>G130*K130</f>
        <v>0</v>
      </c>
      <c r="N130" s="820" t="str">
        <f t="shared" ref="N130" si="73">IF((L130+M130)&gt;G130,"?","")</f>
        <v/>
      </c>
      <c r="O130" s="1155"/>
      <c r="P130" s="1161"/>
      <c r="Q130" s="1169"/>
      <c r="R130" s="1155"/>
      <c r="S130" s="751"/>
      <c r="T130" s="1155"/>
      <c r="U130" s="1155"/>
      <c r="V130" s="1157">
        <f>SUM(T130:U131)</f>
        <v>0</v>
      </c>
      <c r="W130" s="1157">
        <f>G130-V130</f>
        <v>0</v>
      </c>
      <c r="X130" s="1155"/>
      <c r="Y130" s="1161"/>
      <c r="Z130" s="1169"/>
      <c r="AA130" s="1155"/>
      <c r="AB130" s="391"/>
      <c r="AC130" s="447"/>
      <c r="AD130" s="1153"/>
      <c r="AE130" s="1153"/>
      <c r="AF130" s="1151"/>
      <c r="AG130" s="1159">
        <f>SUM(G130,AD130:AF131)</f>
        <v>0</v>
      </c>
      <c r="AH130" s="414"/>
      <c r="AI130" s="558">
        <f ca="1">IF(AJ131=TRUE,H130*0.8,H130)</f>
        <v>2414.8365320668586</v>
      </c>
      <c r="AJ130" s="414"/>
      <c r="AK130" s="416">
        <f t="shared" ca="1" si="56"/>
        <v>2897.8038384802303</v>
      </c>
      <c r="AL130" s="416">
        <f t="shared" ca="1" si="57"/>
        <v>3139.2874916869164</v>
      </c>
      <c r="AM130" s="416"/>
      <c r="AN130" s="416"/>
      <c r="AO130" s="416"/>
      <c r="AP130" s="258" t="s">
        <v>46</v>
      </c>
      <c r="AQ130" s="258" t="s">
        <v>340</v>
      </c>
      <c r="AR130" s="417"/>
      <c r="AS130" s="281"/>
      <c r="AT130" s="281"/>
      <c r="AU130" s="417"/>
      <c r="AV130" s="417"/>
      <c r="AW130" s="417"/>
      <c r="AX130" s="417"/>
      <c r="AY130" s="417"/>
      <c r="AZ130" s="417"/>
      <c r="BA130" s="417"/>
      <c r="BB130" s="417"/>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row>
    <row r="131" spans="1:78" s="125" customFormat="1" ht="12.75" customHeight="1" x14ac:dyDescent="0.2">
      <c r="A131" s="529"/>
      <c r="B131" s="530" t="str">
        <f>IF(Stammblatt!$L$4=1,'Kalkulation Herstellungskosten'!AP131,'Kalkulation Herstellungskosten'!AQ131)</f>
        <v xml:space="preserve">Wochenpauschale (§ 7 KV) </v>
      </c>
      <c r="C131" s="118">
        <v>0</v>
      </c>
      <c r="D131" s="545"/>
      <c r="E131" s="119"/>
      <c r="F131" s="548">
        <f>E131</f>
        <v>0</v>
      </c>
      <c r="G131" s="1160"/>
      <c r="H131" s="120">
        <f ca="1">IF(AND(Stammblatt!$I$9=TRUE,GHSTK&lt;=1220000),Kollektivvertrag!$E$59,IF(AND(Stammblatt!$I$9=TRUE,GHSTK&lt;=1570000),Kollektivvertrag!E25/2,Kollektivvertrag!E25))</f>
        <v>3344.5485969125989</v>
      </c>
      <c r="I131" s="1164"/>
      <c r="J131" s="823"/>
      <c r="K131" s="824"/>
      <c r="L131" s="492"/>
      <c r="M131" s="492"/>
      <c r="N131" s="445"/>
      <c r="O131" s="1156"/>
      <c r="P131" s="1162"/>
      <c r="Q131" s="1170"/>
      <c r="R131" s="1156"/>
      <c r="S131" s="751"/>
      <c r="T131" s="1156"/>
      <c r="U131" s="1156"/>
      <c r="V131" s="1158"/>
      <c r="W131" s="1158"/>
      <c r="X131" s="1156"/>
      <c r="Y131" s="1162"/>
      <c r="Z131" s="1170"/>
      <c r="AA131" s="1156"/>
      <c r="AB131" s="391"/>
      <c r="AC131" s="447"/>
      <c r="AD131" s="1154"/>
      <c r="AE131" s="1154"/>
      <c r="AF131" s="1152"/>
      <c r="AG131" s="1160"/>
      <c r="AH131" s="414"/>
      <c r="AI131" s="558">
        <f ca="1">IF(AJ131=TRUE,H131*0.8,H131)</f>
        <v>3344.5485969125989</v>
      </c>
      <c r="AJ131" s="414" t="b">
        <v>0</v>
      </c>
      <c r="AK131" s="416">
        <f t="shared" ca="1" si="56"/>
        <v>4013.4583162951185</v>
      </c>
      <c r="AL131" s="416">
        <f t="shared" ca="1" si="57"/>
        <v>4347.9131759863785</v>
      </c>
      <c r="AM131" s="416"/>
      <c r="AN131" s="416"/>
      <c r="AO131" s="419"/>
      <c r="AP131" s="258" t="s">
        <v>45</v>
      </c>
      <c r="AQ131" s="258" t="s">
        <v>351</v>
      </c>
      <c r="AR131" s="417"/>
      <c r="AS131" s="281"/>
      <c r="AT131" s="281"/>
      <c r="AU131" s="417"/>
      <c r="AV131" s="417"/>
      <c r="AW131" s="420"/>
      <c r="AX131" s="417"/>
      <c r="AY131" s="417"/>
      <c r="AZ131" s="417"/>
      <c r="BA131" s="417"/>
      <c r="BB131" s="417"/>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7"/>
      <c r="BY131" s="417"/>
      <c r="BZ131" s="417"/>
    </row>
    <row r="132" spans="1:78" s="125" customFormat="1" ht="12.75" customHeight="1" x14ac:dyDescent="0.2">
      <c r="A132" s="534"/>
      <c r="B132" s="480"/>
      <c r="C132" s="537"/>
      <c r="D132" s="537"/>
      <c r="E132" s="537"/>
      <c r="F132" s="537"/>
      <c r="G132" s="414"/>
      <c r="H132" s="537"/>
      <c r="I132" s="538"/>
      <c r="J132" s="539"/>
      <c r="K132" s="537"/>
      <c r="L132" s="540"/>
      <c r="M132" s="540"/>
      <c r="N132" s="541"/>
      <c r="O132" s="752"/>
      <c r="P132" s="753"/>
      <c r="Q132" s="752"/>
      <c r="R132" s="752"/>
      <c r="S132" s="751"/>
      <c r="T132" s="746"/>
      <c r="U132" s="752"/>
      <c r="V132" s="752"/>
      <c r="W132" s="752"/>
      <c r="X132" s="752"/>
      <c r="Y132" s="435"/>
      <c r="Z132" s="435"/>
      <c r="AA132" s="435"/>
      <c r="AB132" s="391"/>
      <c r="AC132" s="401"/>
      <c r="AD132" s="480"/>
      <c r="AE132" s="480"/>
      <c r="AF132" s="480"/>
      <c r="AG132" s="537"/>
      <c r="AH132" s="414"/>
      <c r="AI132" s="558"/>
      <c r="AJ132" s="414"/>
      <c r="AK132" s="414"/>
      <c r="AL132" s="414"/>
      <c r="AM132" s="414"/>
      <c r="AN132" s="414"/>
      <c r="AO132" s="414"/>
      <c r="AP132" s="258"/>
      <c r="AQ132" s="258"/>
      <c r="AR132" s="417"/>
      <c r="AS132" s="281"/>
      <c r="AT132" s="281"/>
      <c r="AU132" s="417"/>
      <c r="AV132" s="417"/>
      <c r="AW132" s="420"/>
      <c r="AX132" s="417"/>
      <c r="AY132" s="417"/>
      <c r="AZ132" s="417"/>
      <c r="BA132" s="417"/>
      <c r="BB132" s="417"/>
      <c r="BC132" s="417"/>
      <c r="BD132" s="417"/>
      <c r="BE132" s="417"/>
      <c r="BF132" s="417"/>
      <c r="BG132" s="417"/>
      <c r="BH132" s="417"/>
      <c r="BI132" s="417"/>
      <c r="BJ132" s="417"/>
      <c r="BK132" s="417"/>
      <c r="BL132" s="417"/>
      <c r="BM132" s="417"/>
      <c r="BN132" s="417"/>
      <c r="BO132" s="417"/>
      <c r="BP132" s="417"/>
      <c r="BQ132" s="417"/>
      <c r="BR132" s="417"/>
      <c r="BS132" s="417"/>
      <c r="BT132" s="417"/>
      <c r="BU132" s="417"/>
      <c r="BV132" s="417"/>
      <c r="BW132" s="417"/>
      <c r="BX132" s="417"/>
      <c r="BY132" s="417"/>
      <c r="BZ132" s="417"/>
    </row>
    <row r="133" spans="1:78" ht="12.75" customHeight="1" x14ac:dyDescent="0.2">
      <c r="A133" s="398">
        <v>65</v>
      </c>
      <c r="B133" s="281" t="str">
        <f>IF(Stammblatt!$L$4=1,'Kalkulation Herstellungskosten'!AP133,'Kalkulation Herstellungskosten'!AQ133)</f>
        <v>Sonstige MitarbeiterInnen</v>
      </c>
      <c r="C133" s="436" t="str">
        <f>IF(Stammblatt!$L$4=1,"Wochen","weeks")</f>
        <v>Wochen</v>
      </c>
      <c r="D133" s="436" t="s">
        <v>626</v>
      </c>
      <c r="E133" s="399" t="s">
        <v>212</v>
      </c>
      <c r="F133" s="400"/>
      <c r="G133" s="514"/>
      <c r="H133" s="400"/>
      <c r="I133" s="542"/>
      <c r="J133" s="543" t="s">
        <v>581</v>
      </c>
      <c r="K133" s="391" t="s">
        <v>582</v>
      </c>
      <c r="L133" s="391" t="s">
        <v>583</v>
      </c>
      <c r="M133" s="391" t="s">
        <v>584</v>
      </c>
      <c r="N133" s="525"/>
      <c r="O133" s="435"/>
      <c r="P133" s="563"/>
      <c r="Q133" s="435"/>
      <c r="R133" s="435"/>
      <c r="S133" s="751"/>
      <c r="T133" s="746"/>
      <c r="U133" s="435"/>
      <c r="V133" s="435"/>
      <c r="W133" s="435"/>
      <c r="X133" s="435"/>
      <c r="Y133" s="435"/>
      <c r="Z133" s="435"/>
      <c r="AA133" s="435"/>
      <c r="AB133" s="391"/>
      <c r="AC133" s="401"/>
      <c r="AD133" s="482"/>
      <c r="AE133" s="482"/>
      <c r="AF133" s="482"/>
      <c r="AG133" s="400"/>
      <c r="AH133" s="405"/>
      <c r="AI133" s="559"/>
      <c r="AJ133" s="405"/>
      <c r="AK133" s="405"/>
      <c r="AL133" s="405"/>
      <c r="AM133" s="405"/>
      <c r="AN133" s="405"/>
      <c r="AO133" s="405"/>
      <c r="AP133" s="258" t="s">
        <v>557</v>
      </c>
      <c r="AQ133" s="258" t="s">
        <v>361</v>
      </c>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1"/>
    </row>
    <row r="134" spans="1:78" s="125" customFormat="1" ht="12.75" customHeight="1" x14ac:dyDescent="0.2">
      <c r="A134" s="535" t="s">
        <v>659</v>
      </c>
      <c r="B134" s="536" t="s">
        <v>903</v>
      </c>
      <c r="C134" s="129">
        <v>0</v>
      </c>
      <c r="D134" s="546"/>
      <c r="E134" s="126"/>
      <c r="F134" s="550"/>
      <c r="G134" s="549">
        <f>C134*E134</f>
        <v>0</v>
      </c>
      <c r="H134" s="450"/>
      <c r="I134" s="483"/>
      <c r="J134" s="817"/>
      <c r="K134" s="817"/>
      <c r="L134" s="711">
        <f>G134*J134</f>
        <v>0</v>
      </c>
      <c r="M134" s="711">
        <f>G134*K134</f>
        <v>0</v>
      </c>
      <c r="N134" s="485" t="str">
        <f t="shared" ref="N134:N164" si="74">IF((L134+M134)&gt;G134,"?","")</f>
        <v/>
      </c>
      <c r="O134" s="749"/>
      <c r="P134" s="742"/>
      <c r="Q134" s="743"/>
      <c r="R134" s="741"/>
      <c r="S134" s="737"/>
      <c r="T134" s="743"/>
      <c r="U134" s="741"/>
      <c r="V134" s="779">
        <f t="shared" ref="V134:V143" si="75">SUM(T134:U134)</f>
        <v>0</v>
      </c>
      <c r="W134" s="562">
        <f t="shared" ref="W134:W159" si="76">G134-V134</f>
        <v>0</v>
      </c>
      <c r="X134" s="749"/>
      <c r="Y134" s="744"/>
      <c r="Z134" s="743"/>
      <c r="AA134" s="741"/>
      <c r="AB134" s="391"/>
      <c r="AC134" s="447"/>
      <c r="AD134" s="130"/>
      <c r="AE134" s="130"/>
      <c r="AF134" s="130"/>
      <c r="AG134" s="551">
        <f t="shared" ref="AG134:AG164" si="77">SUM(G134,AD134:AF134)</f>
        <v>0</v>
      </c>
      <c r="AH134" s="414"/>
      <c r="AI134" s="558">
        <f>IF(AJ134=FALSE,7000,5600)</f>
        <v>7000</v>
      </c>
      <c r="AJ134" s="414" t="b">
        <v>0</v>
      </c>
      <c r="AK134" s="558">
        <v>3000</v>
      </c>
      <c r="AL134" s="414"/>
      <c r="AM134" s="414"/>
      <c r="AN134" s="414"/>
      <c r="AO134" s="414"/>
      <c r="AP134" s="258" t="s">
        <v>151</v>
      </c>
      <c r="AQ134" s="258"/>
      <c r="AR134" s="421"/>
      <c r="AS134" s="417"/>
      <c r="AT134" s="417"/>
      <c r="AU134" s="417"/>
      <c r="AV134" s="417"/>
      <c r="AW134" s="417"/>
      <c r="AX134" s="417"/>
      <c r="AY134" s="417"/>
      <c r="AZ134" s="417"/>
      <c r="BA134" s="417"/>
      <c r="BB134" s="417"/>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7"/>
      <c r="BY134" s="417"/>
      <c r="BZ134" s="417"/>
    </row>
    <row r="135" spans="1:78" s="125" customFormat="1" ht="12.75" customHeight="1" x14ac:dyDescent="0.2">
      <c r="A135" s="535" t="s">
        <v>660</v>
      </c>
      <c r="B135" s="528" t="s">
        <v>907</v>
      </c>
      <c r="C135" s="118">
        <v>0</v>
      </c>
      <c r="D135" s="545"/>
      <c r="E135" s="119"/>
      <c r="F135" s="548"/>
      <c r="G135" s="551">
        <f t="shared" ref="G135:G143" si="78">C135*E135</f>
        <v>0</v>
      </c>
      <c r="H135" s="450"/>
      <c r="I135" s="483"/>
      <c r="J135" s="817"/>
      <c r="K135" s="817"/>
      <c r="L135" s="711">
        <f t="shared" ref="L135:L169" si="79">G135*J135</f>
        <v>0</v>
      </c>
      <c r="M135" s="711">
        <f t="shared" ref="M135:M169" si="80">G135*K135</f>
        <v>0</v>
      </c>
      <c r="N135" s="485" t="str">
        <f t="shared" si="74"/>
        <v/>
      </c>
      <c r="O135" s="749"/>
      <c r="P135" s="742"/>
      <c r="Q135" s="743"/>
      <c r="R135" s="741"/>
      <c r="S135" s="737"/>
      <c r="T135" s="743"/>
      <c r="U135" s="741"/>
      <c r="V135" s="779">
        <f t="shared" si="75"/>
        <v>0</v>
      </c>
      <c r="W135" s="562">
        <f t="shared" si="76"/>
        <v>0</v>
      </c>
      <c r="X135" s="749"/>
      <c r="Y135" s="744"/>
      <c r="Z135" s="743"/>
      <c r="AA135" s="741"/>
      <c r="AB135" s="391"/>
      <c r="AC135" s="447"/>
      <c r="AD135" s="132"/>
      <c r="AE135" s="132"/>
      <c r="AF135" s="132"/>
      <c r="AG135" s="551">
        <f t="shared" si="77"/>
        <v>0</v>
      </c>
      <c r="AH135" s="414"/>
      <c r="AI135" s="414"/>
      <c r="AJ135" s="414"/>
      <c r="AK135" s="414"/>
      <c r="AL135" s="414"/>
      <c r="AM135" s="414"/>
      <c r="AN135" s="414"/>
      <c r="AO135" s="414"/>
      <c r="AP135" s="258"/>
      <c r="AQ135" s="258"/>
      <c r="AR135" s="417"/>
      <c r="AS135" s="417"/>
      <c r="AT135" s="417"/>
      <c r="AU135" s="417"/>
      <c r="AV135" s="417"/>
      <c r="AW135" s="417"/>
      <c r="AX135" s="417"/>
      <c r="AY135" s="417"/>
      <c r="AZ135" s="417"/>
      <c r="BA135" s="417"/>
      <c r="BB135" s="417"/>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7"/>
      <c r="BY135" s="417"/>
      <c r="BZ135" s="417"/>
    </row>
    <row r="136" spans="1:78" s="125" customFormat="1" ht="12.75" customHeight="1" x14ac:dyDescent="0.2">
      <c r="A136" s="535" t="s">
        <v>661</v>
      </c>
      <c r="B136" s="131"/>
      <c r="C136" s="118">
        <v>0</v>
      </c>
      <c r="D136" s="545"/>
      <c r="E136" s="119"/>
      <c r="F136" s="498"/>
      <c r="G136" s="551">
        <f t="shared" si="78"/>
        <v>0</v>
      </c>
      <c r="H136" s="450"/>
      <c r="I136" s="483"/>
      <c r="J136" s="817"/>
      <c r="K136" s="817"/>
      <c r="L136" s="711">
        <f t="shared" si="79"/>
        <v>0</v>
      </c>
      <c r="M136" s="711">
        <f t="shared" si="80"/>
        <v>0</v>
      </c>
      <c r="N136" s="485" t="str">
        <f t="shared" si="74"/>
        <v/>
      </c>
      <c r="O136" s="749"/>
      <c r="P136" s="742"/>
      <c r="Q136" s="743"/>
      <c r="R136" s="741"/>
      <c r="S136" s="737"/>
      <c r="T136" s="743"/>
      <c r="U136" s="741"/>
      <c r="V136" s="779">
        <f t="shared" si="75"/>
        <v>0</v>
      </c>
      <c r="W136" s="562">
        <f t="shared" si="76"/>
        <v>0</v>
      </c>
      <c r="X136" s="749"/>
      <c r="Y136" s="744"/>
      <c r="Z136" s="743"/>
      <c r="AA136" s="741"/>
      <c r="AB136" s="391"/>
      <c r="AC136" s="447"/>
      <c r="AD136" s="130"/>
      <c r="AE136" s="130"/>
      <c r="AF136" s="130"/>
      <c r="AG136" s="551">
        <f t="shared" si="77"/>
        <v>0</v>
      </c>
      <c r="AH136" s="414"/>
      <c r="AI136" s="414"/>
      <c r="AJ136" s="414"/>
      <c r="AK136" s="414"/>
      <c r="AL136" s="414"/>
      <c r="AM136" s="414"/>
      <c r="AN136" s="414"/>
      <c r="AO136" s="414"/>
      <c r="AP136" s="258"/>
      <c r="AQ136" s="258"/>
      <c r="AR136" s="417"/>
      <c r="AS136" s="417"/>
      <c r="AT136" s="417"/>
      <c r="AU136" s="417"/>
      <c r="AV136" s="417"/>
      <c r="AW136" s="417"/>
      <c r="AX136" s="417"/>
      <c r="AY136" s="417"/>
      <c r="AZ136" s="417"/>
      <c r="BA136" s="417"/>
      <c r="BB136" s="417"/>
      <c r="BC136" s="417"/>
      <c r="BD136" s="417"/>
      <c r="BE136" s="417"/>
      <c r="BF136" s="417"/>
      <c r="BG136" s="417"/>
      <c r="BH136" s="417"/>
      <c r="BI136" s="417"/>
      <c r="BJ136" s="417"/>
      <c r="BK136" s="417"/>
      <c r="BL136" s="417"/>
      <c r="BM136" s="417"/>
      <c r="BN136" s="417"/>
      <c r="BO136" s="417"/>
      <c r="BP136" s="417"/>
      <c r="BQ136" s="417"/>
      <c r="BR136" s="417"/>
      <c r="BS136" s="417"/>
      <c r="BT136" s="417"/>
      <c r="BU136" s="417"/>
      <c r="BV136" s="417"/>
      <c r="BW136" s="417"/>
      <c r="BX136" s="417"/>
      <c r="BY136" s="417"/>
      <c r="BZ136" s="417"/>
    </row>
    <row r="137" spans="1:78" s="125" customFormat="1" ht="12.75" customHeight="1" x14ac:dyDescent="0.2">
      <c r="A137" s="535" t="s">
        <v>662</v>
      </c>
      <c r="B137" s="131"/>
      <c r="C137" s="118">
        <v>0</v>
      </c>
      <c r="D137" s="545"/>
      <c r="E137" s="119"/>
      <c r="F137" s="498"/>
      <c r="G137" s="551">
        <f t="shared" si="78"/>
        <v>0</v>
      </c>
      <c r="H137" s="455"/>
      <c r="I137" s="483"/>
      <c r="J137" s="817"/>
      <c r="K137" s="817"/>
      <c r="L137" s="711">
        <f t="shared" si="79"/>
        <v>0</v>
      </c>
      <c r="M137" s="711">
        <f t="shared" si="80"/>
        <v>0</v>
      </c>
      <c r="N137" s="485" t="str">
        <f t="shared" si="74"/>
        <v/>
      </c>
      <c r="O137" s="749"/>
      <c r="P137" s="742"/>
      <c r="Q137" s="743"/>
      <c r="R137" s="741"/>
      <c r="S137" s="737"/>
      <c r="T137" s="743"/>
      <c r="U137" s="741"/>
      <c r="V137" s="779">
        <f t="shared" si="75"/>
        <v>0</v>
      </c>
      <c r="W137" s="562">
        <f t="shared" si="76"/>
        <v>0</v>
      </c>
      <c r="X137" s="749"/>
      <c r="Y137" s="744"/>
      <c r="Z137" s="743"/>
      <c r="AA137" s="741"/>
      <c r="AB137" s="391"/>
      <c r="AC137" s="447"/>
      <c r="AD137" s="132"/>
      <c r="AE137" s="132"/>
      <c r="AF137" s="132"/>
      <c r="AG137" s="551">
        <f t="shared" si="77"/>
        <v>0</v>
      </c>
      <c r="AH137" s="414"/>
      <c r="AI137" s="414"/>
      <c r="AJ137" s="414"/>
      <c r="AK137" s="414"/>
      <c r="AL137" s="414"/>
      <c r="AM137" s="414"/>
      <c r="AN137" s="414"/>
      <c r="AO137" s="414"/>
      <c r="AP137" s="258"/>
      <c r="AQ137" s="258"/>
      <c r="AR137" s="417"/>
      <c r="AS137" s="417"/>
      <c r="AT137" s="417"/>
      <c r="AU137" s="417"/>
      <c r="AV137" s="417"/>
      <c r="AW137" s="417"/>
      <c r="AX137" s="417"/>
      <c r="AY137" s="417"/>
      <c r="AZ137" s="417"/>
      <c r="BA137" s="417"/>
      <c r="BB137" s="417"/>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row>
    <row r="138" spans="1:78" s="125" customFormat="1" ht="12.75" customHeight="1" x14ac:dyDescent="0.2">
      <c r="A138" s="535" t="s">
        <v>663</v>
      </c>
      <c r="B138" s="131"/>
      <c r="C138" s="118">
        <v>0</v>
      </c>
      <c r="D138" s="545"/>
      <c r="E138" s="119"/>
      <c r="F138" s="498"/>
      <c r="G138" s="551">
        <f t="shared" si="78"/>
        <v>0</v>
      </c>
      <c r="H138" s="450"/>
      <c r="I138" s="483"/>
      <c r="J138" s="817"/>
      <c r="K138" s="817"/>
      <c r="L138" s="711">
        <f t="shared" si="79"/>
        <v>0</v>
      </c>
      <c r="M138" s="711">
        <f t="shared" si="80"/>
        <v>0</v>
      </c>
      <c r="N138" s="485" t="str">
        <f t="shared" si="74"/>
        <v/>
      </c>
      <c r="O138" s="749"/>
      <c r="P138" s="742"/>
      <c r="Q138" s="743"/>
      <c r="R138" s="741"/>
      <c r="S138" s="737"/>
      <c r="T138" s="743"/>
      <c r="U138" s="741"/>
      <c r="V138" s="779">
        <f t="shared" si="75"/>
        <v>0</v>
      </c>
      <c r="W138" s="562">
        <f t="shared" si="76"/>
        <v>0</v>
      </c>
      <c r="X138" s="749"/>
      <c r="Y138" s="744"/>
      <c r="Z138" s="743"/>
      <c r="AA138" s="741"/>
      <c r="AB138" s="391"/>
      <c r="AC138" s="447"/>
      <c r="AD138" s="130"/>
      <c r="AE138" s="130"/>
      <c r="AF138" s="130"/>
      <c r="AG138" s="551">
        <f t="shared" si="77"/>
        <v>0</v>
      </c>
      <c r="AH138" s="414"/>
      <c r="AI138" s="414"/>
      <c r="AJ138" s="414"/>
      <c r="AK138" s="414"/>
      <c r="AL138" s="414"/>
      <c r="AM138" s="414"/>
      <c r="AN138" s="414"/>
      <c r="AO138" s="414"/>
      <c r="AP138" s="258"/>
      <c r="AQ138" s="258"/>
      <c r="AR138" s="417"/>
      <c r="AS138" s="417"/>
      <c r="AT138" s="417"/>
      <c r="AU138" s="417"/>
      <c r="AV138" s="417"/>
      <c r="AW138" s="417"/>
      <c r="AX138" s="417"/>
      <c r="AY138" s="417"/>
      <c r="AZ138" s="417"/>
      <c r="BA138" s="417"/>
      <c r="BB138" s="417"/>
      <c r="BC138" s="417"/>
      <c r="BD138" s="417"/>
      <c r="BE138" s="417"/>
      <c r="BF138" s="417"/>
      <c r="BG138" s="417"/>
      <c r="BH138" s="417"/>
      <c r="BI138" s="417"/>
      <c r="BJ138" s="417"/>
      <c r="BK138" s="417"/>
      <c r="BL138" s="417"/>
      <c r="BM138" s="417"/>
      <c r="BN138" s="417"/>
      <c r="BO138" s="417"/>
      <c r="BP138" s="417"/>
      <c r="BQ138" s="417"/>
      <c r="BR138" s="417"/>
      <c r="BS138" s="417"/>
      <c r="BT138" s="417"/>
      <c r="BU138" s="417"/>
      <c r="BV138" s="417"/>
      <c r="BW138" s="417"/>
      <c r="BX138" s="417"/>
      <c r="BY138" s="417"/>
      <c r="BZ138" s="417"/>
    </row>
    <row r="139" spans="1:78" s="125" customFormat="1" ht="12.75" customHeight="1" x14ac:dyDescent="0.2">
      <c r="A139" s="535" t="s">
        <v>664</v>
      </c>
      <c r="B139" s="131"/>
      <c r="C139" s="118">
        <v>0</v>
      </c>
      <c r="D139" s="545"/>
      <c r="E139" s="119"/>
      <c r="F139" s="498"/>
      <c r="G139" s="551">
        <f t="shared" si="78"/>
        <v>0</v>
      </c>
      <c r="H139" s="455"/>
      <c r="I139" s="483"/>
      <c r="J139" s="817"/>
      <c r="K139" s="817"/>
      <c r="L139" s="711">
        <f t="shared" si="79"/>
        <v>0</v>
      </c>
      <c r="M139" s="711">
        <f t="shared" si="80"/>
        <v>0</v>
      </c>
      <c r="N139" s="485" t="str">
        <f t="shared" si="74"/>
        <v/>
      </c>
      <c r="O139" s="749"/>
      <c r="P139" s="742"/>
      <c r="Q139" s="743"/>
      <c r="R139" s="741"/>
      <c r="S139" s="737"/>
      <c r="T139" s="743"/>
      <c r="U139" s="741"/>
      <c r="V139" s="779">
        <f t="shared" si="75"/>
        <v>0</v>
      </c>
      <c r="W139" s="562">
        <f t="shared" si="76"/>
        <v>0</v>
      </c>
      <c r="X139" s="749"/>
      <c r="Y139" s="744"/>
      <c r="Z139" s="743"/>
      <c r="AA139" s="741"/>
      <c r="AB139" s="391"/>
      <c r="AC139" s="447"/>
      <c r="AD139" s="130"/>
      <c r="AE139" s="130"/>
      <c r="AF139" s="130"/>
      <c r="AG139" s="551">
        <f t="shared" si="77"/>
        <v>0</v>
      </c>
      <c r="AH139" s="414"/>
      <c r="AI139" s="414"/>
      <c r="AJ139" s="414"/>
      <c r="AK139" s="414"/>
      <c r="AL139" s="414"/>
      <c r="AM139" s="414"/>
      <c r="AN139" s="414"/>
      <c r="AO139" s="414"/>
      <c r="AP139" s="258"/>
      <c r="AQ139" s="258"/>
      <c r="AR139" s="417"/>
      <c r="AS139" s="417"/>
      <c r="AT139" s="417"/>
      <c r="AU139" s="417"/>
      <c r="AV139" s="417"/>
      <c r="AW139" s="417"/>
      <c r="AX139" s="417"/>
      <c r="AY139" s="417"/>
      <c r="AZ139" s="417"/>
      <c r="BA139" s="417"/>
      <c r="BB139" s="417"/>
      <c r="BC139" s="417"/>
      <c r="BD139" s="417"/>
      <c r="BE139" s="417"/>
      <c r="BF139" s="417"/>
      <c r="BG139" s="417"/>
      <c r="BH139" s="417"/>
      <c r="BI139" s="417"/>
      <c r="BJ139" s="417"/>
      <c r="BK139" s="417"/>
      <c r="BL139" s="417"/>
      <c r="BM139" s="417"/>
      <c r="BN139" s="417"/>
      <c r="BO139" s="417"/>
      <c r="BP139" s="417"/>
      <c r="BQ139" s="417"/>
      <c r="BR139" s="417"/>
      <c r="BS139" s="417"/>
      <c r="BT139" s="417"/>
      <c r="BU139" s="417"/>
      <c r="BV139" s="417"/>
      <c r="BW139" s="417"/>
      <c r="BX139" s="417"/>
      <c r="BY139" s="417"/>
      <c r="BZ139" s="417"/>
    </row>
    <row r="140" spans="1:78" s="125" customFormat="1" ht="12.75" customHeight="1" x14ac:dyDescent="0.2">
      <c r="A140" s="535" t="s">
        <v>665</v>
      </c>
      <c r="B140" s="131"/>
      <c r="C140" s="118">
        <v>0</v>
      </c>
      <c r="D140" s="545"/>
      <c r="E140" s="119"/>
      <c r="F140" s="498"/>
      <c r="G140" s="551">
        <f t="shared" si="78"/>
        <v>0</v>
      </c>
      <c r="H140" s="450"/>
      <c r="I140" s="483"/>
      <c r="J140" s="817"/>
      <c r="K140" s="817"/>
      <c r="L140" s="711">
        <f t="shared" si="79"/>
        <v>0</v>
      </c>
      <c r="M140" s="711">
        <f t="shared" si="80"/>
        <v>0</v>
      </c>
      <c r="N140" s="485" t="str">
        <f t="shared" si="74"/>
        <v/>
      </c>
      <c r="O140" s="749"/>
      <c r="P140" s="742"/>
      <c r="Q140" s="743"/>
      <c r="R140" s="741"/>
      <c r="S140" s="737"/>
      <c r="T140" s="743"/>
      <c r="U140" s="741"/>
      <c r="V140" s="779">
        <f t="shared" si="75"/>
        <v>0</v>
      </c>
      <c r="W140" s="562">
        <f t="shared" si="76"/>
        <v>0</v>
      </c>
      <c r="X140" s="749"/>
      <c r="Y140" s="744"/>
      <c r="Z140" s="743"/>
      <c r="AA140" s="741"/>
      <c r="AB140" s="391"/>
      <c r="AC140" s="447"/>
      <c r="AD140" s="132"/>
      <c r="AE140" s="132"/>
      <c r="AF140" s="132"/>
      <c r="AG140" s="551">
        <f t="shared" si="77"/>
        <v>0</v>
      </c>
      <c r="AH140" s="414"/>
      <c r="AI140" s="414"/>
      <c r="AJ140" s="414"/>
      <c r="AK140" s="414"/>
      <c r="AL140" s="414"/>
      <c r="AM140" s="414"/>
      <c r="AN140" s="414"/>
      <c r="AO140" s="414"/>
      <c r="AP140" s="258"/>
      <c r="AQ140" s="258"/>
      <c r="AR140" s="417"/>
      <c r="AS140" s="417"/>
      <c r="AT140" s="417"/>
      <c r="AU140" s="417"/>
      <c r="AV140" s="417"/>
      <c r="AW140" s="417"/>
      <c r="AX140" s="417"/>
      <c r="AY140" s="417"/>
      <c r="AZ140" s="417"/>
      <c r="BA140" s="417"/>
      <c r="BB140" s="417"/>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row>
    <row r="141" spans="1:78" s="125" customFormat="1" ht="12.75" customHeight="1" x14ac:dyDescent="0.2">
      <c r="A141" s="535" t="s">
        <v>666</v>
      </c>
      <c r="B141" s="131"/>
      <c r="C141" s="118">
        <v>0</v>
      </c>
      <c r="D141" s="545"/>
      <c r="E141" s="119"/>
      <c r="F141" s="498"/>
      <c r="G141" s="551">
        <f t="shared" si="78"/>
        <v>0</v>
      </c>
      <c r="H141" s="455"/>
      <c r="I141" s="483"/>
      <c r="J141" s="817"/>
      <c r="K141" s="817"/>
      <c r="L141" s="711">
        <f t="shared" si="79"/>
        <v>0</v>
      </c>
      <c r="M141" s="711">
        <f t="shared" si="80"/>
        <v>0</v>
      </c>
      <c r="N141" s="485" t="str">
        <f t="shared" si="74"/>
        <v/>
      </c>
      <c r="O141" s="749"/>
      <c r="P141" s="742"/>
      <c r="Q141" s="743"/>
      <c r="R141" s="741"/>
      <c r="S141" s="737"/>
      <c r="T141" s="743"/>
      <c r="U141" s="741"/>
      <c r="V141" s="779">
        <f t="shared" si="75"/>
        <v>0</v>
      </c>
      <c r="W141" s="562">
        <f t="shared" si="76"/>
        <v>0</v>
      </c>
      <c r="X141" s="749"/>
      <c r="Y141" s="744"/>
      <c r="Z141" s="743"/>
      <c r="AA141" s="741"/>
      <c r="AB141" s="391"/>
      <c r="AC141" s="447"/>
      <c r="AD141" s="127"/>
      <c r="AE141" s="127"/>
      <c r="AF141" s="127"/>
      <c r="AG141" s="551">
        <f t="shared" si="77"/>
        <v>0</v>
      </c>
      <c r="AH141" s="414"/>
      <c r="AI141" s="414"/>
      <c r="AJ141" s="414"/>
      <c r="AK141" s="414"/>
      <c r="AL141" s="414"/>
      <c r="AM141" s="414"/>
      <c r="AN141" s="414"/>
      <c r="AO141" s="414"/>
      <c r="AP141" s="258"/>
      <c r="AQ141" s="258"/>
      <c r="AR141" s="417"/>
      <c r="AS141" s="417"/>
      <c r="AT141" s="417"/>
      <c r="AU141" s="417"/>
      <c r="AV141" s="417"/>
      <c r="AW141" s="417"/>
      <c r="AX141" s="417"/>
      <c r="AY141" s="417"/>
      <c r="AZ141" s="417"/>
      <c r="BA141" s="417"/>
      <c r="BB141" s="417"/>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row>
    <row r="142" spans="1:78" s="125" customFormat="1" ht="12.75" customHeight="1" x14ac:dyDescent="0.2">
      <c r="A142" s="535" t="s">
        <v>667</v>
      </c>
      <c r="B142" s="131"/>
      <c r="C142" s="118">
        <v>0</v>
      </c>
      <c r="D142" s="545"/>
      <c r="E142" s="119"/>
      <c r="F142" s="498"/>
      <c r="G142" s="551">
        <f t="shared" si="78"/>
        <v>0</v>
      </c>
      <c r="H142" s="450"/>
      <c r="I142" s="483"/>
      <c r="J142" s="817"/>
      <c r="K142" s="817"/>
      <c r="L142" s="711">
        <f t="shared" si="79"/>
        <v>0</v>
      </c>
      <c r="M142" s="711">
        <f t="shared" si="80"/>
        <v>0</v>
      </c>
      <c r="N142" s="485" t="str">
        <f t="shared" si="74"/>
        <v/>
      </c>
      <c r="O142" s="749"/>
      <c r="P142" s="742"/>
      <c r="Q142" s="743"/>
      <c r="R142" s="741"/>
      <c r="S142" s="737"/>
      <c r="T142" s="743"/>
      <c r="U142" s="741"/>
      <c r="V142" s="779">
        <f t="shared" si="75"/>
        <v>0</v>
      </c>
      <c r="W142" s="562">
        <f t="shared" si="76"/>
        <v>0</v>
      </c>
      <c r="X142" s="749"/>
      <c r="Y142" s="744"/>
      <c r="Z142" s="743"/>
      <c r="AA142" s="741"/>
      <c r="AB142" s="391"/>
      <c r="AC142" s="447"/>
      <c r="AD142" s="130"/>
      <c r="AE142" s="130"/>
      <c r="AF142" s="130"/>
      <c r="AG142" s="551">
        <f t="shared" si="77"/>
        <v>0</v>
      </c>
      <c r="AH142" s="414"/>
      <c r="AI142" s="414"/>
      <c r="AJ142" s="414"/>
      <c r="AK142" s="414"/>
      <c r="AL142" s="414"/>
      <c r="AM142" s="414"/>
      <c r="AN142" s="414"/>
      <c r="AO142" s="414"/>
      <c r="AP142" s="258"/>
      <c r="AQ142" s="258"/>
      <c r="AR142" s="417"/>
      <c r="AS142" s="417"/>
      <c r="AT142" s="417"/>
      <c r="AU142" s="417"/>
      <c r="AV142" s="417"/>
      <c r="AW142" s="417"/>
      <c r="AX142" s="417"/>
      <c r="AY142" s="417"/>
      <c r="AZ142" s="417"/>
      <c r="BA142" s="417"/>
      <c r="BB142" s="417"/>
      <c r="BC142" s="417"/>
      <c r="BD142" s="417"/>
      <c r="BE142" s="417"/>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7"/>
    </row>
    <row r="143" spans="1:78" s="125" customFormat="1" ht="12.75" customHeight="1" x14ac:dyDescent="0.2">
      <c r="A143" s="535" t="s">
        <v>668</v>
      </c>
      <c r="B143" s="133"/>
      <c r="C143" s="118">
        <v>0</v>
      </c>
      <c r="D143" s="545"/>
      <c r="E143" s="119"/>
      <c r="F143" s="498"/>
      <c r="G143" s="551">
        <f t="shared" si="78"/>
        <v>0</v>
      </c>
      <c r="H143" s="455"/>
      <c r="I143" s="483"/>
      <c r="J143" s="817"/>
      <c r="K143" s="817"/>
      <c r="L143" s="711">
        <f t="shared" si="79"/>
        <v>0</v>
      </c>
      <c r="M143" s="711">
        <f t="shared" si="80"/>
        <v>0</v>
      </c>
      <c r="N143" s="485" t="str">
        <f t="shared" si="74"/>
        <v/>
      </c>
      <c r="O143" s="749"/>
      <c r="P143" s="742"/>
      <c r="Q143" s="743"/>
      <c r="R143" s="741"/>
      <c r="S143" s="737"/>
      <c r="T143" s="743"/>
      <c r="U143" s="741"/>
      <c r="V143" s="779">
        <f t="shared" si="75"/>
        <v>0</v>
      </c>
      <c r="W143" s="562">
        <f t="shared" si="76"/>
        <v>0</v>
      </c>
      <c r="X143" s="749"/>
      <c r="Y143" s="744"/>
      <c r="Z143" s="743"/>
      <c r="AA143" s="741"/>
      <c r="AB143" s="391"/>
      <c r="AC143" s="447"/>
      <c r="AD143" s="132"/>
      <c r="AE143" s="132"/>
      <c r="AF143" s="132"/>
      <c r="AG143" s="551">
        <f t="shared" si="77"/>
        <v>0</v>
      </c>
      <c r="AH143" s="414"/>
      <c r="AI143" s="414"/>
      <c r="AJ143" s="414"/>
      <c r="AK143" s="414"/>
      <c r="AL143" s="414"/>
      <c r="AM143" s="414"/>
      <c r="AN143" s="414"/>
      <c r="AO143" s="414"/>
      <c r="AP143" s="258"/>
      <c r="AQ143" s="258"/>
      <c r="AR143" s="417"/>
      <c r="AS143" s="417"/>
      <c r="AT143" s="417"/>
      <c r="AU143" s="417"/>
      <c r="AV143" s="417"/>
      <c r="AW143" s="417"/>
      <c r="AX143" s="417"/>
      <c r="AY143" s="417"/>
      <c r="AZ143" s="417"/>
      <c r="BA143" s="417"/>
      <c r="BB143" s="417"/>
      <c r="BC143" s="417"/>
      <c r="BD143" s="417"/>
      <c r="BE143" s="417"/>
      <c r="BF143" s="417"/>
      <c r="BG143" s="417"/>
      <c r="BH143" s="417"/>
      <c r="BI143" s="417"/>
      <c r="BJ143" s="417"/>
      <c r="BK143" s="417"/>
      <c r="BL143" s="417"/>
      <c r="BM143" s="417"/>
      <c r="BN143" s="417"/>
      <c r="BO143" s="417"/>
      <c r="BP143" s="417"/>
      <c r="BQ143" s="417"/>
      <c r="BR143" s="417"/>
      <c r="BS143" s="417"/>
      <c r="BT143" s="417"/>
      <c r="BU143" s="417"/>
      <c r="BV143" s="417"/>
      <c r="BW143" s="417"/>
      <c r="BX143" s="417"/>
      <c r="BY143" s="417"/>
      <c r="BZ143" s="417"/>
    </row>
    <row r="144" spans="1:78" s="125" customFormat="1" ht="12.75" customHeight="1" x14ac:dyDescent="0.2">
      <c r="A144" s="535" t="s">
        <v>753</v>
      </c>
      <c r="B144" s="133"/>
      <c r="C144" s="118">
        <v>0</v>
      </c>
      <c r="D144" s="545"/>
      <c r="E144" s="119"/>
      <c r="F144" s="498"/>
      <c r="G144" s="551">
        <f t="shared" ref="G144:G154" si="81">C144*E144</f>
        <v>0</v>
      </c>
      <c r="H144" s="455"/>
      <c r="I144" s="483"/>
      <c r="J144" s="817"/>
      <c r="K144" s="817"/>
      <c r="L144" s="711">
        <f t="shared" si="79"/>
        <v>0</v>
      </c>
      <c r="M144" s="711">
        <f t="shared" si="80"/>
        <v>0</v>
      </c>
      <c r="N144" s="485" t="str">
        <f t="shared" si="74"/>
        <v/>
      </c>
      <c r="O144" s="749"/>
      <c r="P144" s="742"/>
      <c r="Q144" s="743"/>
      <c r="R144" s="741"/>
      <c r="S144" s="737"/>
      <c r="T144" s="743"/>
      <c r="U144" s="741"/>
      <c r="V144" s="779">
        <f t="shared" ref="V144:V154" si="82">SUM(T144:U144)</f>
        <v>0</v>
      </c>
      <c r="W144" s="562">
        <f t="shared" si="76"/>
        <v>0</v>
      </c>
      <c r="X144" s="749"/>
      <c r="Y144" s="744"/>
      <c r="Z144" s="743"/>
      <c r="AA144" s="741"/>
      <c r="AB144" s="391"/>
      <c r="AC144" s="447"/>
      <c r="AD144" s="132"/>
      <c r="AE144" s="132"/>
      <c r="AF144" s="132"/>
      <c r="AG144" s="551">
        <f t="shared" si="77"/>
        <v>0</v>
      </c>
      <c r="AH144" s="414"/>
      <c r="AI144" s="414"/>
      <c r="AJ144" s="414"/>
      <c r="AK144" s="414"/>
      <c r="AL144" s="414"/>
      <c r="AM144" s="414"/>
      <c r="AN144" s="414"/>
      <c r="AO144" s="414"/>
      <c r="AP144" s="258"/>
      <c r="AQ144" s="258"/>
      <c r="AR144" s="417"/>
      <c r="AS144" s="417"/>
      <c r="AT144" s="417"/>
      <c r="AU144" s="417"/>
      <c r="AV144" s="417"/>
      <c r="AW144" s="417"/>
      <c r="AX144" s="417"/>
      <c r="AY144" s="417"/>
      <c r="AZ144" s="417"/>
      <c r="BA144" s="417"/>
      <c r="BB144" s="417"/>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row>
    <row r="145" spans="1:78" s="125" customFormat="1" ht="12.75" customHeight="1" x14ac:dyDescent="0.2">
      <c r="A145" s="535" t="s">
        <v>754</v>
      </c>
      <c r="B145" s="133"/>
      <c r="C145" s="118">
        <v>0</v>
      </c>
      <c r="D145" s="545"/>
      <c r="E145" s="119"/>
      <c r="F145" s="498"/>
      <c r="G145" s="551">
        <f t="shared" si="81"/>
        <v>0</v>
      </c>
      <c r="H145" s="455"/>
      <c r="I145" s="483"/>
      <c r="J145" s="817"/>
      <c r="K145" s="817"/>
      <c r="L145" s="711">
        <f t="shared" si="79"/>
        <v>0</v>
      </c>
      <c r="M145" s="711">
        <f t="shared" si="80"/>
        <v>0</v>
      </c>
      <c r="N145" s="485" t="str">
        <f t="shared" si="74"/>
        <v/>
      </c>
      <c r="O145" s="749"/>
      <c r="P145" s="742"/>
      <c r="Q145" s="743"/>
      <c r="R145" s="741"/>
      <c r="S145" s="737"/>
      <c r="T145" s="743"/>
      <c r="U145" s="741"/>
      <c r="V145" s="779">
        <f t="shared" si="82"/>
        <v>0</v>
      </c>
      <c r="W145" s="562">
        <f t="shared" si="76"/>
        <v>0</v>
      </c>
      <c r="X145" s="749"/>
      <c r="Y145" s="744"/>
      <c r="Z145" s="743"/>
      <c r="AA145" s="741"/>
      <c r="AB145" s="391"/>
      <c r="AC145" s="447"/>
      <c r="AD145" s="132"/>
      <c r="AE145" s="132"/>
      <c r="AF145" s="132"/>
      <c r="AG145" s="551">
        <f t="shared" si="77"/>
        <v>0</v>
      </c>
      <c r="AH145" s="414"/>
      <c r="AI145" s="414"/>
      <c r="AJ145" s="414"/>
      <c r="AK145" s="414"/>
      <c r="AL145" s="414"/>
      <c r="AM145" s="414"/>
      <c r="AN145" s="414"/>
      <c r="AO145" s="414"/>
      <c r="AP145" s="258"/>
      <c r="AQ145" s="258"/>
      <c r="AR145" s="417"/>
      <c r="AS145" s="417"/>
      <c r="AT145" s="417"/>
      <c r="AU145" s="417"/>
      <c r="AV145" s="417"/>
      <c r="AW145" s="417"/>
      <c r="AX145" s="417"/>
      <c r="AY145" s="417"/>
      <c r="AZ145" s="417"/>
      <c r="BA145" s="417"/>
      <c r="BB145" s="417"/>
      <c r="BC145" s="417"/>
      <c r="BD145" s="417"/>
      <c r="BE145" s="417"/>
      <c r="BF145" s="417"/>
      <c r="BG145" s="417"/>
      <c r="BH145" s="417"/>
      <c r="BI145" s="417"/>
      <c r="BJ145" s="417"/>
      <c r="BK145" s="417"/>
      <c r="BL145" s="417"/>
      <c r="BM145" s="417"/>
      <c r="BN145" s="417"/>
      <c r="BO145" s="417"/>
      <c r="BP145" s="417"/>
      <c r="BQ145" s="417"/>
      <c r="BR145" s="417"/>
      <c r="BS145" s="417"/>
      <c r="BT145" s="417"/>
      <c r="BU145" s="417"/>
      <c r="BV145" s="417"/>
      <c r="BW145" s="417"/>
      <c r="BX145" s="417"/>
      <c r="BY145" s="417"/>
      <c r="BZ145" s="417"/>
    </row>
    <row r="146" spans="1:78" s="125" customFormat="1" ht="12.75" customHeight="1" x14ac:dyDescent="0.2">
      <c r="A146" s="535" t="s">
        <v>755</v>
      </c>
      <c r="B146" s="133"/>
      <c r="C146" s="118">
        <v>0</v>
      </c>
      <c r="D146" s="545"/>
      <c r="E146" s="119"/>
      <c r="F146" s="498"/>
      <c r="G146" s="551">
        <f t="shared" si="81"/>
        <v>0</v>
      </c>
      <c r="H146" s="455"/>
      <c r="I146" s="483"/>
      <c r="J146" s="817"/>
      <c r="K146" s="817"/>
      <c r="L146" s="711">
        <f t="shared" si="79"/>
        <v>0</v>
      </c>
      <c r="M146" s="711">
        <f t="shared" si="80"/>
        <v>0</v>
      </c>
      <c r="N146" s="485" t="str">
        <f t="shared" si="74"/>
        <v/>
      </c>
      <c r="O146" s="749"/>
      <c r="P146" s="742"/>
      <c r="Q146" s="743"/>
      <c r="R146" s="741"/>
      <c r="S146" s="737"/>
      <c r="T146" s="743"/>
      <c r="U146" s="741"/>
      <c r="V146" s="779">
        <f t="shared" si="82"/>
        <v>0</v>
      </c>
      <c r="W146" s="562">
        <f t="shared" si="76"/>
        <v>0</v>
      </c>
      <c r="X146" s="749"/>
      <c r="Y146" s="744"/>
      <c r="Z146" s="743"/>
      <c r="AA146" s="741"/>
      <c r="AB146" s="391"/>
      <c r="AC146" s="447"/>
      <c r="AD146" s="132"/>
      <c r="AE146" s="132"/>
      <c r="AF146" s="132"/>
      <c r="AG146" s="551">
        <f t="shared" si="77"/>
        <v>0</v>
      </c>
      <c r="AH146" s="414"/>
      <c r="AI146" s="414"/>
      <c r="AJ146" s="414"/>
      <c r="AK146" s="414"/>
      <c r="AL146" s="414"/>
      <c r="AM146" s="414"/>
      <c r="AN146" s="414"/>
      <c r="AO146" s="414"/>
      <c r="AP146" s="258"/>
      <c r="AQ146" s="258"/>
      <c r="AR146" s="417"/>
      <c r="AS146" s="417"/>
      <c r="AT146" s="417"/>
      <c r="AU146" s="417"/>
      <c r="AV146" s="417"/>
      <c r="AW146" s="417"/>
      <c r="AX146" s="417"/>
      <c r="AY146" s="417"/>
      <c r="AZ146" s="417"/>
      <c r="BA146" s="417"/>
      <c r="BB146" s="417"/>
      <c r="BC146" s="417"/>
      <c r="BD146" s="417"/>
      <c r="BE146" s="417"/>
      <c r="BF146" s="417"/>
      <c r="BG146" s="417"/>
      <c r="BH146" s="417"/>
      <c r="BI146" s="417"/>
      <c r="BJ146" s="417"/>
      <c r="BK146" s="417"/>
      <c r="BL146" s="417"/>
      <c r="BM146" s="417"/>
      <c r="BN146" s="417"/>
      <c r="BO146" s="417"/>
      <c r="BP146" s="417"/>
      <c r="BQ146" s="417"/>
      <c r="BR146" s="417"/>
      <c r="BS146" s="417"/>
      <c r="BT146" s="417"/>
      <c r="BU146" s="417"/>
      <c r="BV146" s="417"/>
      <c r="BW146" s="417"/>
      <c r="BX146" s="417"/>
      <c r="BY146" s="417"/>
      <c r="BZ146" s="417"/>
    </row>
    <row r="147" spans="1:78" s="125" customFormat="1" ht="12.75" customHeight="1" x14ac:dyDescent="0.2">
      <c r="A147" s="535" t="s">
        <v>756</v>
      </c>
      <c r="B147" s="133"/>
      <c r="C147" s="118">
        <v>0</v>
      </c>
      <c r="D147" s="545"/>
      <c r="E147" s="119"/>
      <c r="F147" s="498"/>
      <c r="G147" s="551">
        <f t="shared" si="81"/>
        <v>0</v>
      </c>
      <c r="H147" s="455"/>
      <c r="I147" s="483"/>
      <c r="J147" s="817"/>
      <c r="K147" s="817"/>
      <c r="L147" s="711">
        <f t="shared" si="79"/>
        <v>0</v>
      </c>
      <c r="M147" s="711">
        <f t="shared" si="80"/>
        <v>0</v>
      </c>
      <c r="N147" s="485" t="str">
        <f t="shared" si="74"/>
        <v/>
      </c>
      <c r="O147" s="749"/>
      <c r="P147" s="742"/>
      <c r="Q147" s="743"/>
      <c r="R147" s="741"/>
      <c r="S147" s="737"/>
      <c r="T147" s="743"/>
      <c r="U147" s="741"/>
      <c r="V147" s="779">
        <f t="shared" si="82"/>
        <v>0</v>
      </c>
      <c r="W147" s="562">
        <f t="shared" si="76"/>
        <v>0</v>
      </c>
      <c r="X147" s="749"/>
      <c r="Y147" s="744"/>
      <c r="Z147" s="743"/>
      <c r="AA147" s="741"/>
      <c r="AB147" s="391"/>
      <c r="AC147" s="447"/>
      <c r="AD147" s="132"/>
      <c r="AE147" s="132"/>
      <c r="AF147" s="132"/>
      <c r="AG147" s="551">
        <f t="shared" si="77"/>
        <v>0</v>
      </c>
      <c r="AH147" s="414"/>
      <c r="AI147" s="414"/>
      <c r="AJ147" s="414"/>
      <c r="AK147" s="414"/>
      <c r="AL147" s="414"/>
      <c r="AM147" s="414"/>
      <c r="AN147" s="414"/>
      <c r="AO147" s="414"/>
      <c r="AP147" s="258"/>
      <c r="AQ147" s="258"/>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row>
    <row r="148" spans="1:78" s="125" customFormat="1" ht="12.75" customHeight="1" x14ac:dyDescent="0.2">
      <c r="A148" s="535" t="s">
        <v>757</v>
      </c>
      <c r="B148" s="133"/>
      <c r="C148" s="118">
        <v>0</v>
      </c>
      <c r="D148" s="545"/>
      <c r="E148" s="119"/>
      <c r="F148" s="498"/>
      <c r="G148" s="551">
        <f t="shared" si="81"/>
        <v>0</v>
      </c>
      <c r="H148" s="455"/>
      <c r="I148" s="483"/>
      <c r="J148" s="817"/>
      <c r="K148" s="817"/>
      <c r="L148" s="711">
        <f t="shared" si="79"/>
        <v>0</v>
      </c>
      <c r="M148" s="711">
        <f t="shared" si="80"/>
        <v>0</v>
      </c>
      <c r="N148" s="485" t="str">
        <f t="shared" si="74"/>
        <v/>
      </c>
      <c r="O148" s="749"/>
      <c r="P148" s="742"/>
      <c r="Q148" s="743"/>
      <c r="R148" s="741"/>
      <c r="S148" s="737"/>
      <c r="T148" s="743"/>
      <c r="U148" s="741"/>
      <c r="V148" s="779">
        <f t="shared" si="82"/>
        <v>0</v>
      </c>
      <c r="W148" s="562">
        <f t="shared" si="76"/>
        <v>0</v>
      </c>
      <c r="X148" s="749"/>
      <c r="Y148" s="744"/>
      <c r="Z148" s="743"/>
      <c r="AA148" s="741"/>
      <c r="AB148" s="391"/>
      <c r="AC148" s="447"/>
      <c r="AD148" s="132"/>
      <c r="AE148" s="132"/>
      <c r="AF148" s="132"/>
      <c r="AG148" s="551">
        <f t="shared" si="77"/>
        <v>0</v>
      </c>
      <c r="AH148" s="414"/>
      <c r="AI148" s="414"/>
      <c r="AJ148" s="414"/>
      <c r="AK148" s="414"/>
      <c r="AL148" s="414"/>
      <c r="AM148" s="414"/>
      <c r="AN148" s="414"/>
      <c r="AO148" s="414"/>
      <c r="AP148" s="258"/>
      <c r="AQ148" s="258"/>
      <c r="AR148" s="417"/>
      <c r="AS148" s="417"/>
      <c r="AT148" s="417"/>
      <c r="AU148" s="417"/>
      <c r="AV148" s="417"/>
      <c r="AW148" s="417"/>
      <c r="AX148" s="417"/>
      <c r="AY148" s="417"/>
      <c r="AZ148" s="417"/>
      <c r="BA148" s="417"/>
      <c r="BB148" s="417"/>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row>
    <row r="149" spans="1:78" s="125" customFormat="1" ht="12.75" customHeight="1" x14ac:dyDescent="0.2">
      <c r="A149" s="535" t="s">
        <v>758</v>
      </c>
      <c r="B149" s="133"/>
      <c r="C149" s="118">
        <v>0</v>
      </c>
      <c r="D149" s="545"/>
      <c r="E149" s="119"/>
      <c r="F149" s="498"/>
      <c r="G149" s="551">
        <f t="shared" ref="G149" si="83">C149*E149</f>
        <v>0</v>
      </c>
      <c r="H149" s="455"/>
      <c r="I149" s="483"/>
      <c r="J149" s="817"/>
      <c r="K149" s="817"/>
      <c r="L149" s="711">
        <f t="shared" si="79"/>
        <v>0</v>
      </c>
      <c r="M149" s="711">
        <f t="shared" si="80"/>
        <v>0</v>
      </c>
      <c r="N149" s="485" t="str">
        <f t="shared" si="74"/>
        <v/>
      </c>
      <c r="O149" s="749"/>
      <c r="P149" s="742"/>
      <c r="Q149" s="743"/>
      <c r="R149" s="741"/>
      <c r="S149" s="737"/>
      <c r="T149" s="743"/>
      <c r="U149" s="741"/>
      <c r="V149" s="779">
        <f t="shared" si="82"/>
        <v>0</v>
      </c>
      <c r="W149" s="562">
        <f t="shared" si="76"/>
        <v>0</v>
      </c>
      <c r="X149" s="749"/>
      <c r="Y149" s="744"/>
      <c r="Z149" s="743"/>
      <c r="AA149" s="741"/>
      <c r="AB149" s="391"/>
      <c r="AC149" s="447"/>
      <c r="AD149" s="132"/>
      <c r="AE149" s="132"/>
      <c r="AF149" s="132"/>
      <c r="AG149" s="551">
        <f t="shared" si="77"/>
        <v>0</v>
      </c>
      <c r="AH149" s="414"/>
      <c r="AI149" s="414"/>
      <c r="AJ149" s="414"/>
      <c r="AK149" s="414"/>
      <c r="AL149" s="414"/>
      <c r="AM149" s="414"/>
      <c r="AN149" s="414"/>
      <c r="AO149" s="414"/>
      <c r="AP149" s="258"/>
      <c r="AQ149" s="258"/>
      <c r="AR149" s="417"/>
      <c r="AS149" s="417"/>
      <c r="AT149" s="417"/>
      <c r="AU149" s="417"/>
      <c r="AV149" s="417"/>
      <c r="AW149" s="417"/>
      <c r="AX149" s="417"/>
      <c r="AY149" s="417"/>
      <c r="AZ149" s="417"/>
      <c r="BA149" s="417"/>
      <c r="BB149" s="417"/>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row>
    <row r="150" spans="1:78" s="125" customFormat="1" ht="12.75" customHeight="1" x14ac:dyDescent="0.2">
      <c r="A150" s="535" t="s">
        <v>759</v>
      </c>
      <c r="B150" s="133"/>
      <c r="C150" s="118">
        <v>0</v>
      </c>
      <c r="D150" s="545"/>
      <c r="E150" s="119"/>
      <c r="F150" s="498"/>
      <c r="G150" s="551">
        <f t="shared" si="81"/>
        <v>0</v>
      </c>
      <c r="H150" s="455"/>
      <c r="I150" s="483"/>
      <c r="J150" s="817"/>
      <c r="K150" s="817"/>
      <c r="L150" s="711">
        <f t="shared" si="79"/>
        <v>0</v>
      </c>
      <c r="M150" s="711">
        <f t="shared" si="80"/>
        <v>0</v>
      </c>
      <c r="N150" s="485" t="str">
        <f t="shared" si="74"/>
        <v/>
      </c>
      <c r="O150" s="749"/>
      <c r="P150" s="742"/>
      <c r="Q150" s="743"/>
      <c r="R150" s="741"/>
      <c r="S150" s="737"/>
      <c r="T150" s="743"/>
      <c r="U150" s="741"/>
      <c r="V150" s="779">
        <f t="shared" si="82"/>
        <v>0</v>
      </c>
      <c r="W150" s="562">
        <f t="shared" si="76"/>
        <v>0</v>
      </c>
      <c r="X150" s="749"/>
      <c r="Y150" s="744"/>
      <c r="Z150" s="743"/>
      <c r="AA150" s="741"/>
      <c r="AB150" s="391"/>
      <c r="AC150" s="447"/>
      <c r="AD150" s="132"/>
      <c r="AE150" s="132"/>
      <c r="AF150" s="132"/>
      <c r="AG150" s="551">
        <f t="shared" si="77"/>
        <v>0</v>
      </c>
      <c r="AH150" s="414"/>
      <c r="AI150" s="414"/>
      <c r="AJ150" s="414"/>
      <c r="AK150" s="414"/>
      <c r="AL150" s="414"/>
      <c r="AM150" s="414"/>
      <c r="AN150" s="414"/>
      <c r="AO150" s="414"/>
      <c r="AP150" s="258"/>
      <c r="AQ150" s="258"/>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row>
    <row r="151" spans="1:78" s="125" customFormat="1" ht="12.75" customHeight="1" x14ac:dyDescent="0.2">
      <c r="A151" s="535" t="s">
        <v>760</v>
      </c>
      <c r="B151" s="133"/>
      <c r="C151" s="118">
        <v>0</v>
      </c>
      <c r="D151" s="545"/>
      <c r="E151" s="119"/>
      <c r="F151" s="498"/>
      <c r="G151" s="551">
        <f t="shared" si="81"/>
        <v>0</v>
      </c>
      <c r="H151" s="455"/>
      <c r="I151" s="483"/>
      <c r="J151" s="817"/>
      <c r="K151" s="817"/>
      <c r="L151" s="711">
        <f t="shared" si="79"/>
        <v>0</v>
      </c>
      <c r="M151" s="711">
        <f t="shared" si="80"/>
        <v>0</v>
      </c>
      <c r="N151" s="485" t="str">
        <f t="shared" si="74"/>
        <v/>
      </c>
      <c r="O151" s="749"/>
      <c r="P151" s="742"/>
      <c r="Q151" s="743"/>
      <c r="R151" s="741"/>
      <c r="S151" s="737"/>
      <c r="T151" s="743"/>
      <c r="U151" s="741"/>
      <c r="V151" s="779">
        <f t="shared" si="82"/>
        <v>0</v>
      </c>
      <c r="W151" s="562">
        <f t="shared" si="76"/>
        <v>0</v>
      </c>
      <c r="X151" s="749"/>
      <c r="Y151" s="744"/>
      <c r="Z151" s="743"/>
      <c r="AA151" s="741"/>
      <c r="AB151" s="391"/>
      <c r="AC151" s="447"/>
      <c r="AD151" s="132"/>
      <c r="AE151" s="132"/>
      <c r="AF151" s="132"/>
      <c r="AG151" s="551">
        <f t="shared" si="77"/>
        <v>0</v>
      </c>
      <c r="AH151" s="414"/>
      <c r="AI151" s="414"/>
      <c r="AJ151" s="414"/>
      <c r="AK151" s="414"/>
      <c r="AL151" s="414"/>
      <c r="AM151" s="414"/>
      <c r="AN151" s="414"/>
      <c r="AO151" s="414"/>
      <c r="AP151" s="258"/>
      <c r="AQ151" s="258"/>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row>
    <row r="152" spans="1:78" s="125" customFormat="1" ht="12.75" customHeight="1" x14ac:dyDescent="0.2">
      <c r="A152" s="535" t="s">
        <v>761</v>
      </c>
      <c r="B152" s="133"/>
      <c r="C152" s="118">
        <v>0</v>
      </c>
      <c r="D152" s="545"/>
      <c r="E152" s="119"/>
      <c r="F152" s="498"/>
      <c r="G152" s="551">
        <f t="shared" si="81"/>
        <v>0</v>
      </c>
      <c r="H152" s="455"/>
      <c r="I152" s="483"/>
      <c r="J152" s="817"/>
      <c r="K152" s="817"/>
      <c r="L152" s="711">
        <f t="shared" si="79"/>
        <v>0</v>
      </c>
      <c r="M152" s="711">
        <f t="shared" si="80"/>
        <v>0</v>
      </c>
      <c r="N152" s="485" t="str">
        <f t="shared" si="74"/>
        <v/>
      </c>
      <c r="O152" s="749"/>
      <c r="P152" s="742"/>
      <c r="Q152" s="743"/>
      <c r="R152" s="741"/>
      <c r="S152" s="737"/>
      <c r="T152" s="743"/>
      <c r="U152" s="741"/>
      <c r="V152" s="779">
        <f t="shared" si="82"/>
        <v>0</v>
      </c>
      <c r="W152" s="562">
        <f t="shared" si="76"/>
        <v>0</v>
      </c>
      <c r="X152" s="749"/>
      <c r="Y152" s="744"/>
      <c r="Z152" s="743"/>
      <c r="AA152" s="741"/>
      <c r="AB152" s="391"/>
      <c r="AC152" s="447"/>
      <c r="AD152" s="132"/>
      <c r="AE152" s="132"/>
      <c r="AF152" s="132"/>
      <c r="AG152" s="551">
        <f t="shared" si="77"/>
        <v>0</v>
      </c>
      <c r="AH152" s="414"/>
      <c r="AI152" s="414"/>
      <c r="AJ152" s="414"/>
      <c r="AK152" s="414"/>
      <c r="AL152" s="414"/>
      <c r="AM152" s="414"/>
      <c r="AN152" s="414"/>
      <c r="AO152" s="414"/>
      <c r="AP152" s="258"/>
      <c r="AQ152" s="258"/>
      <c r="AR152" s="417"/>
      <c r="AS152" s="417"/>
      <c r="AT152" s="417"/>
      <c r="AU152" s="417"/>
      <c r="AV152" s="417"/>
      <c r="AW152" s="417"/>
      <c r="AX152" s="417"/>
      <c r="AY152" s="417"/>
      <c r="AZ152" s="417"/>
      <c r="BA152" s="417"/>
      <c r="BB152" s="417"/>
      <c r="BC152" s="417"/>
      <c r="BD152" s="417"/>
      <c r="BE152" s="417"/>
      <c r="BF152" s="417"/>
      <c r="BG152" s="417"/>
      <c r="BH152" s="417"/>
      <c r="BI152" s="417"/>
      <c r="BJ152" s="417"/>
      <c r="BK152" s="417"/>
      <c r="BL152" s="417"/>
      <c r="BM152" s="417"/>
      <c r="BN152" s="417"/>
      <c r="BO152" s="417"/>
      <c r="BP152" s="417"/>
      <c r="BQ152" s="417"/>
      <c r="BR152" s="417"/>
      <c r="BS152" s="417"/>
      <c r="BT152" s="417"/>
      <c r="BU152" s="417"/>
      <c r="BV152" s="417"/>
      <c r="BW152" s="417"/>
      <c r="BX152" s="417"/>
      <c r="BY152" s="417"/>
      <c r="BZ152" s="417"/>
    </row>
    <row r="153" spans="1:78" s="125" customFormat="1" ht="12.75" customHeight="1" x14ac:dyDescent="0.2">
      <c r="A153" s="535" t="s">
        <v>762</v>
      </c>
      <c r="B153" s="133"/>
      <c r="C153" s="118">
        <v>0</v>
      </c>
      <c r="D153" s="545"/>
      <c r="E153" s="119"/>
      <c r="F153" s="498"/>
      <c r="G153" s="551">
        <f t="shared" si="81"/>
        <v>0</v>
      </c>
      <c r="H153" s="455"/>
      <c r="I153" s="483"/>
      <c r="J153" s="817"/>
      <c r="K153" s="817"/>
      <c r="L153" s="711">
        <f t="shared" si="79"/>
        <v>0</v>
      </c>
      <c r="M153" s="711">
        <f t="shared" si="80"/>
        <v>0</v>
      </c>
      <c r="N153" s="485" t="str">
        <f t="shared" si="74"/>
        <v/>
      </c>
      <c r="O153" s="749"/>
      <c r="P153" s="742"/>
      <c r="Q153" s="743"/>
      <c r="R153" s="741"/>
      <c r="S153" s="737"/>
      <c r="T153" s="743"/>
      <c r="U153" s="741"/>
      <c r="V153" s="779">
        <f t="shared" si="82"/>
        <v>0</v>
      </c>
      <c r="W153" s="562">
        <f t="shared" si="76"/>
        <v>0</v>
      </c>
      <c r="X153" s="749"/>
      <c r="Y153" s="744"/>
      <c r="Z153" s="743"/>
      <c r="AA153" s="741"/>
      <c r="AB153" s="391"/>
      <c r="AC153" s="447"/>
      <c r="AD153" s="132"/>
      <c r="AE153" s="132"/>
      <c r="AF153" s="132"/>
      <c r="AG153" s="551">
        <f t="shared" si="77"/>
        <v>0</v>
      </c>
      <c r="AH153" s="414"/>
      <c r="AI153" s="414"/>
      <c r="AJ153" s="414"/>
      <c r="AK153" s="414"/>
      <c r="AL153" s="414"/>
      <c r="AM153" s="414"/>
      <c r="AN153" s="414"/>
      <c r="AO153" s="414"/>
      <c r="AP153" s="258"/>
      <c r="AQ153" s="258"/>
      <c r="AR153" s="417"/>
      <c r="AS153" s="417"/>
      <c r="AT153" s="417"/>
      <c r="AU153" s="417"/>
      <c r="AV153" s="417"/>
      <c r="AW153" s="417"/>
      <c r="AX153" s="417"/>
      <c r="AY153" s="417"/>
      <c r="AZ153" s="417"/>
      <c r="BA153" s="417"/>
      <c r="BB153" s="417"/>
      <c r="BC153" s="417"/>
      <c r="BD153" s="417"/>
      <c r="BE153" s="417"/>
      <c r="BF153" s="417"/>
      <c r="BG153" s="417"/>
      <c r="BH153" s="417"/>
      <c r="BI153" s="417"/>
      <c r="BJ153" s="417"/>
      <c r="BK153" s="417"/>
      <c r="BL153" s="417"/>
      <c r="BM153" s="417"/>
      <c r="BN153" s="417"/>
      <c r="BO153" s="417"/>
      <c r="BP153" s="417"/>
      <c r="BQ153" s="417"/>
      <c r="BR153" s="417"/>
      <c r="BS153" s="417"/>
      <c r="BT153" s="417"/>
      <c r="BU153" s="417"/>
      <c r="BV153" s="417"/>
      <c r="BW153" s="417"/>
      <c r="BX153" s="417"/>
      <c r="BY153" s="417"/>
      <c r="BZ153" s="417"/>
    </row>
    <row r="154" spans="1:78" s="125" customFormat="1" ht="12.75" customHeight="1" x14ac:dyDescent="0.2">
      <c r="A154" s="535" t="s">
        <v>763</v>
      </c>
      <c r="B154" s="133"/>
      <c r="C154" s="118">
        <v>0</v>
      </c>
      <c r="D154" s="545"/>
      <c r="E154" s="119"/>
      <c r="F154" s="498"/>
      <c r="G154" s="551">
        <f t="shared" si="81"/>
        <v>0</v>
      </c>
      <c r="H154" s="455"/>
      <c r="I154" s="483"/>
      <c r="J154" s="817"/>
      <c r="K154" s="817"/>
      <c r="L154" s="711">
        <f t="shared" si="79"/>
        <v>0</v>
      </c>
      <c r="M154" s="711">
        <f t="shared" si="80"/>
        <v>0</v>
      </c>
      <c r="N154" s="485" t="str">
        <f t="shared" si="74"/>
        <v/>
      </c>
      <c r="O154" s="749"/>
      <c r="P154" s="742"/>
      <c r="Q154" s="743"/>
      <c r="R154" s="741"/>
      <c r="S154" s="737"/>
      <c r="T154" s="743"/>
      <c r="U154" s="741"/>
      <c r="V154" s="779">
        <f t="shared" si="82"/>
        <v>0</v>
      </c>
      <c r="W154" s="562">
        <f t="shared" si="76"/>
        <v>0</v>
      </c>
      <c r="X154" s="749"/>
      <c r="Y154" s="744"/>
      <c r="Z154" s="743"/>
      <c r="AA154" s="741"/>
      <c r="AB154" s="391"/>
      <c r="AC154" s="447"/>
      <c r="AD154" s="132"/>
      <c r="AE154" s="132"/>
      <c r="AF154" s="132"/>
      <c r="AG154" s="551">
        <f t="shared" si="77"/>
        <v>0</v>
      </c>
      <c r="AH154" s="414"/>
      <c r="AI154" s="414"/>
      <c r="AJ154" s="414"/>
      <c r="AK154" s="414"/>
      <c r="AL154" s="414"/>
      <c r="AM154" s="414"/>
      <c r="AN154" s="414"/>
      <c r="AO154" s="414"/>
      <c r="AP154" s="258"/>
      <c r="AQ154" s="258"/>
      <c r="AR154" s="417"/>
      <c r="AS154" s="417"/>
      <c r="AT154" s="417"/>
      <c r="AU154" s="417"/>
      <c r="AV154" s="417"/>
      <c r="AW154" s="417"/>
      <c r="AX154" s="417"/>
      <c r="AY154" s="417"/>
      <c r="AZ154" s="417"/>
      <c r="BA154" s="417"/>
      <c r="BB154" s="417"/>
      <c r="BC154" s="417"/>
      <c r="BD154" s="417"/>
      <c r="BE154" s="417"/>
      <c r="BF154" s="417"/>
      <c r="BG154" s="417"/>
      <c r="BH154" s="417"/>
      <c r="BI154" s="417"/>
      <c r="BJ154" s="417"/>
      <c r="BK154" s="417"/>
      <c r="BL154" s="417"/>
      <c r="BM154" s="417"/>
      <c r="BN154" s="417"/>
      <c r="BO154" s="417"/>
      <c r="BP154" s="417"/>
      <c r="BQ154" s="417"/>
      <c r="BR154" s="417"/>
      <c r="BS154" s="417"/>
      <c r="BT154" s="417"/>
      <c r="BU154" s="417"/>
      <c r="BV154" s="417"/>
      <c r="BW154" s="417"/>
      <c r="BX154" s="417"/>
      <c r="BY154" s="417"/>
      <c r="BZ154" s="417"/>
    </row>
    <row r="155" spans="1:78" s="125" customFormat="1" ht="12.75" customHeight="1" x14ac:dyDescent="0.2">
      <c r="A155" s="535" t="s">
        <v>776</v>
      </c>
      <c r="B155" s="133"/>
      <c r="C155" s="118">
        <v>0</v>
      </c>
      <c r="D155" s="545"/>
      <c r="E155" s="119"/>
      <c r="F155" s="498"/>
      <c r="G155" s="551">
        <f t="shared" ref="G155:G159" si="84">C155*E155</f>
        <v>0</v>
      </c>
      <c r="H155" s="455"/>
      <c r="I155" s="483"/>
      <c r="J155" s="817"/>
      <c r="K155" s="817"/>
      <c r="L155" s="711">
        <f t="shared" si="79"/>
        <v>0</v>
      </c>
      <c r="M155" s="711">
        <f t="shared" si="80"/>
        <v>0</v>
      </c>
      <c r="N155" s="485" t="str">
        <f t="shared" si="74"/>
        <v/>
      </c>
      <c r="O155" s="749"/>
      <c r="P155" s="742"/>
      <c r="Q155" s="743"/>
      <c r="R155" s="741"/>
      <c r="S155" s="737"/>
      <c r="T155" s="743"/>
      <c r="U155" s="741"/>
      <c r="V155" s="779">
        <f t="shared" ref="V155:V159" si="85">SUM(T155:U155)</f>
        <v>0</v>
      </c>
      <c r="W155" s="562">
        <f t="shared" si="76"/>
        <v>0</v>
      </c>
      <c r="X155" s="749"/>
      <c r="Y155" s="744"/>
      <c r="Z155" s="743"/>
      <c r="AA155" s="741"/>
      <c r="AB155" s="391"/>
      <c r="AC155" s="447"/>
      <c r="AD155" s="132"/>
      <c r="AE155" s="132"/>
      <c r="AF155" s="132"/>
      <c r="AG155" s="551">
        <f t="shared" si="77"/>
        <v>0</v>
      </c>
      <c r="AH155" s="414"/>
      <c r="AI155" s="414"/>
      <c r="AJ155" s="414"/>
      <c r="AK155" s="414"/>
      <c r="AL155" s="414"/>
      <c r="AM155" s="414"/>
      <c r="AN155" s="414"/>
      <c r="AO155" s="414"/>
      <c r="AP155" s="258"/>
      <c r="AQ155" s="258"/>
      <c r="AR155" s="417"/>
      <c r="AS155" s="417"/>
      <c r="AT155" s="417"/>
      <c r="AU155" s="417"/>
      <c r="AV155" s="417"/>
      <c r="AW155" s="417"/>
      <c r="AX155" s="417"/>
      <c r="AY155" s="417"/>
      <c r="AZ155" s="417"/>
      <c r="BA155" s="417"/>
      <c r="BB155" s="417"/>
      <c r="BC155" s="417"/>
      <c r="BD155" s="417"/>
      <c r="BE155" s="417"/>
      <c r="BF155" s="417"/>
      <c r="BG155" s="417"/>
      <c r="BH155" s="417"/>
      <c r="BI155" s="417"/>
      <c r="BJ155" s="417"/>
      <c r="BK155" s="417"/>
      <c r="BL155" s="417"/>
      <c r="BM155" s="417"/>
      <c r="BN155" s="417"/>
      <c r="BO155" s="417"/>
      <c r="BP155" s="417"/>
      <c r="BQ155" s="417"/>
      <c r="BR155" s="417"/>
      <c r="BS155" s="417"/>
      <c r="BT155" s="417"/>
      <c r="BU155" s="417"/>
      <c r="BV155" s="417"/>
      <c r="BW155" s="417"/>
      <c r="BX155" s="417"/>
      <c r="BY155" s="417"/>
      <c r="BZ155" s="417"/>
    </row>
    <row r="156" spans="1:78" s="125" customFormat="1" ht="12.75" customHeight="1" x14ac:dyDescent="0.2">
      <c r="A156" s="535" t="s">
        <v>777</v>
      </c>
      <c r="B156" s="133"/>
      <c r="C156" s="118">
        <v>0</v>
      </c>
      <c r="D156" s="545"/>
      <c r="E156" s="119"/>
      <c r="F156" s="498"/>
      <c r="G156" s="551">
        <f t="shared" si="84"/>
        <v>0</v>
      </c>
      <c r="H156" s="455"/>
      <c r="I156" s="483"/>
      <c r="J156" s="817"/>
      <c r="K156" s="817"/>
      <c r="L156" s="711">
        <f t="shared" si="79"/>
        <v>0</v>
      </c>
      <c r="M156" s="711">
        <f t="shared" si="80"/>
        <v>0</v>
      </c>
      <c r="N156" s="485" t="str">
        <f t="shared" si="74"/>
        <v/>
      </c>
      <c r="O156" s="749"/>
      <c r="P156" s="742"/>
      <c r="Q156" s="743"/>
      <c r="R156" s="741"/>
      <c r="S156" s="737"/>
      <c r="T156" s="743"/>
      <c r="U156" s="741"/>
      <c r="V156" s="779">
        <f t="shared" si="85"/>
        <v>0</v>
      </c>
      <c r="W156" s="562">
        <f t="shared" si="76"/>
        <v>0</v>
      </c>
      <c r="X156" s="749"/>
      <c r="Y156" s="744"/>
      <c r="Z156" s="743"/>
      <c r="AA156" s="741"/>
      <c r="AB156" s="391"/>
      <c r="AC156" s="447"/>
      <c r="AD156" s="132"/>
      <c r="AE156" s="132"/>
      <c r="AF156" s="132"/>
      <c r="AG156" s="551">
        <f t="shared" si="77"/>
        <v>0</v>
      </c>
      <c r="AH156" s="414"/>
      <c r="AI156" s="414"/>
      <c r="AJ156" s="414"/>
      <c r="AK156" s="414"/>
      <c r="AL156" s="414"/>
      <c r="AM156" s="414"/>
      <c r="AN156" s="414"/>
      <c r="AO156" s="414"/>
      <c r="AP156" s="258"/>
      <c r="AQ156" s="258"/>
      <c r="AR156" s="417"/>
      <c r="AS156" s="417"/>
      <c r="AT156" s="417"/>
      <c r="AU156" s="417"/>
      <c r="AV156" s="417"/>
      <c r="AW156" s="417"/>
      <c r="AX156" s="417"/>
      <c r="AY156" s="417"/>
      <c r="AZ156" s="417"/>
      <c r="BA156" s="417"/>
      <c r="BB156" s="417"/>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17"/>
    </row>
    <row r="157" spans="1:78" s="125" customFormat="1" ht="12.75" customHeight="1" x14ac:dyDescent="0.2">
      <c r="A157" s="535" t="s">
        <v>778</v>
      </c>
      <c r="B157" s="133"/>
      <c r="C157" s="118">
        <v>0</v>
      </c>
      <c r="D157" s="545"/>
      <c r="E157" s="119"/>
      <c r="F157" s="498"/>
      <c r="G157" s="551">
        <f t="shared" si="84"/>
        <v>0</v>
      </c>
      <c r="H157" s="455"/>
      <c r="I157" s="483"/>
      <c r="J157" s="817"/>
      <c r="K157" s="817"/>
      <c r="L157" s="711">
        <f t="shared" si="79"/>
        <v>0</v>
      </c>
      <c r="M157" s="711">
        <f t="shared" si="80"/>
        <v>0</v>
      </c>
      <c r="N157" s="485" t="str">
        <f t="shared" si="74"/>
        <v/>
      </c>
      <c r="O157" s="749"/>
      <c r="P157" s="742"/>
      <c r="Q157" s="743"/>
      <c r="R157" s="741"/>
      <c r="S157" s="737"/>
      <c r="T157" s="743"/>
      <c r="U157" s="741"/>
      <c r="V157" s="779">
        <f t="shared" si="85"/>
        <v>0</v>
      </c>
      <c r="W157" s="562">
        <f t="shared" si="76"/>
        <v>0</v>
      </c>
      <c r="X157" s="749"/>
      <c r="Y157" s="744"/>
      <c r="Z157" s="743"/>
      <c r="AA157" s="741"/>
      <c r="AB157" s="391"/>
      <c r="AC157" s="447"/>
      <c r="AD157" s="132"/>
      <c r="AE157" s="132"/>
      <c r="AF157" s="132"/>
      <c r="AG157" s="551">
        <f t="shared" si="77"/>
        <v>0</v>
      </c>
      <c r="AH157" s="414"/>
      <c r="AI157" s="414"/>
      <c r="AJ157" s="414"/>
      <c r="AK157" s="414"/>
      <c r="AL157" s="414"/>
      <c r="AM157" s="414"/>
      <c r="AN157" s="414"/>
      <c r="AO157" s="414"/>
      <c r="AP157" s="258"/>
      <c r="AQ157" s="258"/>
      <c r="AR157" s="417"/>
      <c r="AS157" s="417"/>
      <c r="AT157" s="417"/>
      <c r="AU157" s="417"/>
      <c r="AV157" s="417"/>
      <c r="AW157" s="417"/>
      <c r="AX157" s="417"/>
      <c r="AY157" s="417"/>
      <c r="AZ157" s="417"/>
      <c r="BA157" s="417"/>
      <c r="BB157" s="417"/>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7"/>
      <c r="BY157" s="417"/>
      <c r="BZ157" s="417"/>
    </row>
    <row r="158" spans="1:78" s="125" customFormat="1" ht="12.75" customHeight="1" x14ac:dyDescent="0.2">
      <c r="A158" s="535" t="s">
        <v>779</v>
      </c>
      <c r="B158" s="133"/>
      <c r="C158" s="118">
        <v>0</v>
      </c>
      <c r="D158" s="545"/>
      <c r="E158" s="119"/>
      <c r="F158" s="498"/>
      <c r="G158" s="551">
        <f t="shared" si="84"/>
        <v>0</v>
      </c>
      <c r="H158" s="455"/>
      <c r="I158" s="483"/>
      <c r="J158" s="817"/>
      <c r="K158" s="817"/>
      <c r="L158" s="711">
        <f t="shared" si="79"/>
        <v>0</v>
      </c>
      <c r="M158" s="711">
        <f t="shared" si="80"/>
        <v>0</v>
      </c>
      <c r="N158" s="485" t="str">
        <f t="shared" si="74"/>
        <v/>
      </c>
      <c r="O158" s="749"/>
      <c r="P158" s="742"/>
      <c r="Q158" s="743"/>
      <c r="R158" s="741"/>
      <c r="S158" s="737"/>
      <c r="T158" s="743"/>
      <c r="U158" s="741"/>
      <c r="V158" s="779">
        <f t="shared" si="85"/>
        <v>0</v>
      </c>
      <c r="W158" s="562">
        <f t="shared" si="76"/>
        <v>0</v>
      </c>
      <c r="X158" s="749"/>
      <c r="Y158" s="744"/>
      <c r="Z158" s="743"/>
      <c r="AA158" s="741"/>
      <c r="AB158" s="391"/>
      <c r="AC158" s="447"/>
      <c r="AD158" s="132"/>
      <c r="AE158" s="132"/>
      <c r="AF158" s="132"/>
      <c r="AG158" s="551">
        <f t="shared" si="77"/>
        <v>0</v>
      </c>
      <c r="AH158" s="414"/>
      <c r="AI158" s="414"/>
      <c r="AJ158" s="414"/>
      <c r="AK158" s="414"/>
      <c r="AL158" s="414"/>
      <c r="AM158" s="414"/>
      <c r="AN158" s="414"/>
      <c r="AO158" s="414"/>
      <c r="AP158" s="258"/>
      <c r="AQ158" s="258"/>
      <c r="AR158" s="417"/>
      <c r="AS158" s="417"/>
      <c r="AT158" s="417"/>
      <c r="AU158" s="417"/>
      <c r="AV158" s="417"/>
      <c r="AW158" s="417"/>
      <c r="AX158" s="417"/>
      <c r="AY158" s="417"/>
      <c r="AZ158" s="417"/>
      <c r="BA158" s="417"/>
      <c r="BB158" s="417"/>
      <c r="BC158" s="417"/>
      <c r="BD158" s="417"/>
      <c r="BE158" s="417"/>
      <c r="BF158" s="417"/>
      <c r="BG158" s="417"/>
      <c r="BH158" s="417"/>
      <c r="BI158" s="417"/>
      <c r="BJ158" s="417"/>
      <c r="BK158" s="417"/>
      <c r="BL158" s="417"/>
      <c r="BM158" s="417"/>
      <c r="BN158" s="417"/>
      <c r="BO158" s="417"/>
      <c r="BP158" s="417"/>
      <c r="BQ158" s="417"/>
      <c r="BR158" s="417"/>
      <c r="BS158" s="417"/>
      <c r="BT158" s="417"/>
      <c r="BU158" s="417"/>
      <c r="BV158" s="417"/>
      <c r="BW158" s="417"/>
      <c r="BX158" s="417"/>
      <c r="BY158" s="417"/>
      <c r="BZ158" s="417"/>
    </row>
    <row r="159" spans="1:78" s="125" customFormat="1" ht="12.75" customHeight="1" x14ac:dyDescent="0.2">
      <c r="A159" s="535" t="s">
        <v>780</v>
      </c>
      <c r="B159" s="133"/>
      <c r="C159" s="118">
        <v>0</v>
      </c>
      <c r="D159" s="545"/>
      <c r="E159" s="119"/>
      <c r="F159" s="498"/>
      <c r="G159" s="551">
        <f t="shared" si="84"/>
        <v>0</v>
      </c>
      <c r="H159" s="455"/>
      <c r="I159" s="483"/>
      <c r="J159" s="817"/>
      <c r="K159" s="817"/>
      <c r="L159" s="711">
        <f t="shared" si="79"/>
        <v>0</v>
      </c>
      <c r="M159" s="711">
        <f t="shared" si="80"/>
        <v>0</v>
      </c>
      <c r="N159" s="485" t="str">
        <f t="shared" si="74"/>
        <v/>
      </c>
      <c r="O159" s="749"/>
      <c r="P159" s="742"/>
      <c r="Q159" s="743"/>
      <c r="R159" s="741"/>
      <c r="S159" s="737"/>
      <c r="T159" s="743"/>
      <c r="U159" s="741"/>
      <c r="V159" s="779">
        <f t="shared" si="85"/>
        <v>0</v>
      </c>
      <c r="W159" s="562">
        <f t="shared" si="76"/>
        <v>0</v>
      </c>
      <c r="X159" s="749"/>
      <c r="Y159" s="744"/>
      <c r="Z159" s="743"/>
      <c r="AA159" s="741"/>
      <c r="AB159" s="391"/>
      <c r="AC159" s="447"/>
      <c r="AD159" s="132"/>
      <c r="AE159" s="132"/>
      <c r="AF159" s="132"/>
      <c r="AG159" s="551">
        <f t="shared" si="77"/>
        <v>0</v>
      </c>
      <c r="AH159" s="414"/>
      <c r="AI159" s="414"/>
      <c r="AJ159" s="414"/>
      <c r="AK159" s="414"/>
      <c r="AL159" s="414"/>
      <c r="AM159" s="414"/>
      <c r="AN159" s="414"/>
      <c r="AO159" s="414"/>
      <c r="AP159" s="258"/>
      <c r="AQ159" s="258"/>
      <c r="AR159" s="417"/>
      <c r="AS159" s="417"/>
      <c r="AT159" s="417"/>
      <c r="AU159" s="417"/>
      <c r="AV159" s="417"/>
      <c r="AW159" s="417"/>
      <c r="AX159" s="417"/>
      <c r="AY159" s="417"/>
      <c r="AZ159" s="417"/>
      <c r="BA159" s="417"/>
      <c r="BB159" s="417"/>
      <c r="BC159" s="417"/>
      <c r="BD159" s="417"/>
      <c r="BE159" s="417"/>
      <c r="BF159" s="417"/>
      <c r="BG159" s="417"/>
      <c r="BH159" s="417"/>
      <c r="BI159" s="417"/>
      <c r="BJ159" s="417"/>
      <c r="BK159" s="417"/>
      <c r="BL159" s="417"/>
      <c r="BM159" s="417"/>
      <c r="BN159" s="417"/>
      <c r="BO159" s="417"/>
      <c r="BP159" s="417"/>
      <c r="BQ159" s="417"/>
      <c r="BR159" s="417"/>
      <c r="BS159" s="417"/>
      <c r="BT159" s="417"/>
      <c r="BU159" s="417"/>
      <c r="BV159" s="417"/>
      <c r="BW159" s="417"/>
      <c r="BX159" s="417"/>
      <c r="BY159" s="417"/>
      <c r="BZ159" s="417"/>
    </row>
    <row r="160" spans="1:78" s="125" customFormat="1" ht="12.75" customHeight="1" x14ac:dyDescent="0.2">
      <c r="A160" s="535" t="s">
        <v>872</v>
      </c>
      <c r="B160" s="133"/>
      <c r="C160" s="118">
        <v>0</v>
      </c>
      <c r="D160" s="545"/>
      <c r="E160" s="119"/>
      <c r="F160" s="498"/>
      <c r="G160" s="551">
        <f t="shared" ref="G160:G164" si="86">C160*E160</f>
        <v>0</v>
      </c>
      <c r="H160" s="455"/>
      <c r="I160" s="483"/>
      <c r="J160" s="817"/>
      <c r="K160" s="817"/>
      <c r="L160" s="711">
        <f t="shared" si="79"/>
        <v>0</v>
      </c>
      <c r="M160" s="711">
        <f t="shared" si="80"/>
        <v>0</v>
      </c>
      <c r="N160" s="485" t="str">
        <f t="shared" si="74"/>
        <v/>
      </c>
      <c r="O160" s="749"/>
      <c r="P160" s="742"/>
      <c r="Q160" s="743"/>
      <c r="R160" s="741"/>
      <c r="S160" s="737"/>
      <c r="T160" s="743"/>
      <c r="U160" s="741"/>
      <c r="V160" s="779">
        <f t="shared" ref="V160:V166" si="87">SUM(T160:U160)</f>
        <v>0</v>
      </c>
      <c r="W160" s="562">
        <f t="shared" ref="W160:W166" si="88">G160-V160</f>
        <v>0</v>
      </c>
      <c r="X160" s="749"/>
      <c r="Y160" s="744"/>
      <c r="Z160" s="743"/>
      <c r="AA160" s="741"/>
      <c r="AB160" s="391"/>
      <c r="AC160" s="447"/>
      <c r="AD160" s="132"/>
      <c r="AE160" s="132"/>
      <c r="AF160" s="132"/>
      <c r="AG160" s="551">
        <f t="shared" si="77"/>
        <v>0</v>
      </c>
      <c r="AH160" s="414"/>
      <c r="AI160" s="414"/>
      <c r="AJ160" s="414"/>
      <c r="AK160" s="414"/>
      <c r="AL160" s="414"/>
      <c r="AM160" s="414"/>
      <c r="AN160" s="414"/>
      <c r="AO160" s="414"/>
      <c r="AP160" s="258"/>
      <c r="AQ160" s="258"/>
      <c r="AR160" s="417"/>
      <c r="AS160" s="417"/>
      <c r="AT160" s="417"/>
      <c r="AU160" s="417"/>
      <c r="AV160" s="417"/>
      <c r="AW160" s="417"/>
      <c r="AX160" s="417"/>
      <c r="AY160" s="417"/>
      <c r="AZ160" s="417"/>
      <c r="BA160" s="417"/>
      <c r="BB160" s="417"/>
      <c r="BC160" s="417"/>
      <c r="BD160" s="417"/>
      <c r="BE160" s="417"/>
      <c r="BF160" s="417"/>
      <c r="BG160" s="417"/>
      <c r="BH160" s="417"/>
      <c r="BI160" s="417"/>
      <c r="BJ160" s="417"/>
      <c r="BK160" s="417"/>
      <c r="BL160" s="417"/>
      <c r="BM160" s="417"/>
      <c r="BN160" s="417"/>
      <c r="BO160" s="417"/>
      <c r="BP160" s="417"/>
      <c r="BQ160" s="417"/>
      <c r="BR160" s="417"/>
      <c r="BS160" s="417"/>
      <c r="BT160" s="417"/>
      <c r="BU160" s="417"/>
      <c r="BV160" s="417"/>
      <c r="BW160" s="417"/>
      <c r="BX160" s="417"/>
      <c r="BY160" s="417"/>
      <c r="BZ160" s="417"/>
    </row>
    <row r="161" spans="1:78" s="125" customFormat="1" ht="12.75" customHeight="1" x14ac:dyDescent="0.2">
      <c r="A161" s="535" t="s">
        <v>873</v>
      </c>
      <c r="B161" s="133"/>
      <c r="C161" s="118">
        <v>0</v>
      </c>
      <c r="D161" s="545"/>
      <c r="E161" s="119"/>
      <c r="F161" s="498"/>
      <c r="G161" s="551">
        <f t="shared" si="86"/>
        <v>0</v>
      </c>
      <c r="H161" s="455"/>
      <c r="I161" s="483"/>
      <c r="J161" s="817"/>
      <c r="K161" s="817"/>
      <c r="L161" s="711">
        <f t="shared" si="79"/>
        <v>0</v>
      </c>
      <c r="M161" s="711">
        <f t="shared" si="80"/>
        <v>0</v>
      </c>
      <c r="N161" s="485" t="str">
        <f t="shared" si="74"/>
        <v/>
      </c>
      <c r="O161" s="749"/>
      <c r="P161" s="742"/>
      <c r="Q161" s="743"/>
      <c r="R161" s="741"/>
      <c r="S161" s="737"/>
      <c r="T161" s="743"/>
      <c r="U161" s="741"/>
      <c r="V161" s="779">
        <f t="shared" si="87"/>
        <v>0</v>
      </c>
      <c r="W161" s="562">
        <f t="shared" si="88"/>
        <v>0</v>
      </c>
      <c r="X161" s="749"/>
      <c r="Y161" s="744"/>
      <c r="Z161" s="743"/>
      <c r="AA161" s="741"/>
      <c r="AB161" s="391"/>
      <c r="AC161" s="447"/>
      <c r="AD161" s="132"/>
      <c r="AE161" s="132"/>
      <c r="AF161" s="132"/>
      <c r="AG161" s="551">
        <f t="shared" si="77"/>
        <v>0</v>
      </c>
      <c r="AH161" s="414"/>
      <c r="AI161" s="414"/>
      <c r="AJ161" s="414"/>
      <c r="AK161" s="414"/>
      <c r="AL161" s="414"/>
      <c r="AM161" s="414"/>
      <c r="AN161" s="414"/>
      <c r="AO161" s="414"/>
      <c r="AP161" s="258"/>
      <c r="AQ161" s="258"/>
      <c r="AR161" s="417"/>
      <c r="AS161" s="417"/>
      <c r="AT161" s="417"/>
      <c r="AU161" s="417"/>
      <c r="AV161" s="417"/>
      <c r="AW161" s="417"/>
      <c r="AX161" s="417"/>
      <c r="AY161" s="417"/>
      <c r="AZ161" s="417"/>
      <c r="BA161" s="417"/>
      <c r="BB161" s="417"/>
      <c r="BC161" s="417"/>
      <c r="BD161" s="417"/>
      <c r="BE161" s="417"/>
      <c r="BF161" s="417"/>
      <c r="BG161" s="417"/>
      <c r="BH161" s="417"/>
      <c r="BI161" s="417"/>
      <c r="BJ161" s="417"/>
      <c r="BK161" s="417"/>
      <c r="BL161" s="417"/>
      <c r="BM161" s="417"/>
      <c r="BN161" s="417"/>
      <c r="BO161" s="417"/>
      <c r="BP161" s="417"/>
      <c r="BQ161" s="417"/>
      <c r="BR161" s="417"/>
      <c r="BS161" s="417"/>
      <c r="BT161" s="417"/>
      <c r="BU161" s="417"/>
      <c r="BV161" s="417"/>
      <c r="BW161" s="417"/>
      <c r="BX161" s="417"/>
      <c r="BY161" s="417"/>
      <c r="BZ161" s="417"/>
    </row>
    <row r="162" spans="1:78" s="125" customFormat="1" ht="12.75" customHeight="1" x14ac:dyDescent="0.2">
      <c r="A162" s="535" t="s">
        <v>874</v>
      </c>
      <c r="B162" s="133"/>
      <c r="C162" s="118">
        <v>0</v>
      </c>
      <c r="D162" s="545"/>
      <c r="E162" s="119"/>
      <c r="F162" s="498"/>
      <c r="G162" s="551">
        <f t="shared" si="86"/>
        <v>0</v>
      </c>
      <c r="H162" s="455"/>
      <c r="I162" s="483"/>
      <c r="J162" s="817"/>
      <c r="K162" s="817"/>
      <c r="L162" s="711">
        <f t="shared" si="79"/>
        <v>0</v>
      </c>
      <c r="M162" s="711">
        <f t="shared" si="80"/>
        <v>0</v>
      </c>
      <c r="N162" s="485" t="str">
        <f t="shared" si="74"/>
        <v/>
      </c>
      <c r="O162" s="749"/>
      <c r="P162" s="742"/>
      <c r="Q162" s="743"/>
      <c r="R162" s="741"/>
      <c r="S162" s="737"/>
      <c r="T162" s="743"/>
      <c r="U162" s="741"/>
      <c r="V162" s="779">
        <f t="shared" si="87"/>
        <v>0</v>
      </c>
      <c r="W162" s="562">
        <f t="shared" si="88"/>
        <v>0</v>
      </c>
      <c r="X162" s="749"/>
      <c r="Y162" s="744"/>
      <c r="Z162" s="743"/>
      <c r="AA162" s="741"/>
      <c r="AB162" s="391"/>
      <c r="AC162" s="447"/>
      <c r="AD162" s="132"/>
      <c r="AE162" s="132"/>
      <c r="AF162" s="132"/>
      <c r="AG162" s="551">
        <f t="shared" si="77"/>
        <v>0</v>
      </c>
      <c r="AH162" s="414"/>
      <c r="AI162" s="414"/>
      <c r="AJ162" s="414"/>
      <c r="AK162" s="414"/>
      <c r="AL162" s="414"/>
      <c r="AM162" s="414"/>
      <c r="AN162" s="414"/>
      <c r="AO162" s="414"/>
      <c r="AP162" s="258"/>
      <c r="AQ162" s="258"/>
      <c r="AR162" s="417"/>
      <c r="AS162" s="417"/>
      <c r="AT162" s="417"/>
      <c r="AU162" s="417"/>
      <c r="AV162" s="417"/>
      <c r="AW162" s="417"/>
      <c r="AX162" s="417"/>
      <c r="AY162" s="417"/>
      <c r="AZ162" s="417"/>
      <c r="BA162" s="417"/>
      <c r="BB162" s="417"/>
      <c r="BC162" s="417"/>
      <c r="BD162" s="417"/>
      <c r="BE162" s="417"/>
      <c r="BF162" s="417"/>
      <c r="BG162" s="417"/>
      <c r="BH162" s="417"/>
      <c r="BI162" s="417"/>
      <c r="BJ162" s="417"/>
      <c r="BK162" s="417"/>
      <c r="BL162" s="417"/>
      <c r="BM162" s="417"/>
      <c r="BN162" s="417"/>
      <c r="BO162" s="417"/>
      <c r="BP162" s="417"/>
      <c r="BQ162" s="417"/>
      <c r="BR162" s="417"/>
      <c r="BS162" s="417"/>
      <c r="BT162" s="417"/>
      <c r="BU162" s="417"/>
      <c r="BV162" s="417"/>
      <c r="BW162" s="417"/>
      <c r="BX162" s="417"/>
      <c r="BY162" s="417"/>
      <c r="BZ162" s="417"/>
    </row>
    <row r="163" spans="1:78" s="125" customFormat="1" ht="12.75" customHeight="1" x14ac:dyDescent="0.2">
      <c r="A163" s="535" t="s">
        <v>875</v>
      </c>
      <c r="B163" s="133"/>
      <c r="C163" s="118">
        <v>0</v>
      </c>
      <c r="D163" s="545"/>
      <c r="E163" s="119"/>
      <c r="F163" s="498"/>
      <c r="G163" s="551">
        <f t="shared" si="86"/>
        <v>0</v>
      </c>
      <c r="H163" s="455"/>
      <c r="I163" s="483"/>
      <c r="J163" s="817"/>
      <c r="K163" s="817"/>
      <c r="L163" s="711">
        <f t="shared" si="79"/>
        <v>0</v>
      </c>
      <c r="M163" s="711">
        <f t="shared" si="80"/>
        <v>0</v>
      </c>
      <c r="N163" s="485" t="str">
        <f t="shared" si="74"/>
        <v/>
      </c>
      <c r="O163" s="749"/>
      <c r="P163" s="742"/>
      <c r="Q163" s="743"/>
      <c r="R163" s="741"/>
      <c r="S163" s="737"/>
      <c r="T163" s="743"/>
      <c r="U163" s="741"/>
      <c r="V163" s="779">
        <f t="shared" si="87"/>
        <v>0</v>
      </c>
      <c r="W163" s="562">
        <f t="shared" si="88"/>
        <v>0</v>
      </c>
      <c r="X163" s="749"/>
      <c r="Y163" s="744"/>
      <c r="Z163" s="743"/>
      <c r="AA163" s="741"/>
      <c r="AB163" s="391"/>
      <c r="AC163" s="447"/>
      <c r="AD163" s="132"/>
      <c r="AE163" s="132"/>
      <c r="AF163" s="132"/>
      <c r="AG163" s="551">
        <f t="shared" si="77"/>
        <v>0</v>
      </c>
      <c r="AH163" s="414"/>
      <c r="AI163" s="414"/>
      <c r="AJ163" s="414"/>
      <c r="AK163" s="414"/>
      <c r="AL163" s="414"/>
      <c r="AM163" s="414"/>
      <c r="AN163" s="414"/>
      <c r="AO163" s="414"/>
      <c r="AP163" s="258"/>
      <c r="AQ163" s="258"/>
      <c r="AR163" s="417"/>
      <c r="AS163" s="417"/>
      <c r="AT163" s="417"/>
      <c r="AU163" s="417"/>
      <c r="AV163" s="417"/>
      <c r="AW163" s="417"/>
      <c r="AX163" s="417"/>
      <c r="AY163" s="417"/>
      <c r="AZ163" s="417"/>
      <c r="BA163" s="417"/>
      <c r="BB163" s="417"/>
      <c r="BC163" s="417"/>
      <c r="BD163" s="417"/>
      <c r="BE163" s="417"/>
      <c r="BF163" s="417"/>
      <c r="BG163" s="417"/>
      <c r="BH163" s="417"/>
      <c r="BI163" s="417"/>
      <c r="BJ163" s="417"/>
      <c r="BK163" s="417"/>
      <c r="BL163" s="417"/>
      <c r="BM163" s="417"/>
      <c r="BN163" s="417"/>
      <c r="BO163" s="417"/>
      <c r="BP163" s="417"/>
      <c r="BQ163" s="417"/>
      <c r="BR163" s="417"/>
      <c r="BS163" s="417"/>
      <c r="BT163" s="417"/>
      <c r="BU163" s="417"/>
      <c r="BV163" s="417"/>
      <c r="BW163" s="417"/>
      <c r="BX163" s="417"/>
      <c r="BY163" s="417"/>
      <c r="BZ163" s="417"/>
    </row>
    <row r="164" spans="1:78" s="125" customFormat="1" ht="12.75" customHeight="1" x14ac:dyDescent="0.2">
      <c r="A164" s="535" t="s">
        <v>876</v>
      </c>
      <c r="B164" s="133"/>
      <c r="C164" s="118">
        <v>0</v>
      </c>
      <c r="D164" s="545"/>
      <c r="E164" s="119"/>
      <c r="F164" s="498"/>
      <c r="G164" s="551">
        <f t="shared" si="86"/>
        <v>0</v>
      </c>
      <c r="H164" s="455"/>
      <c r="I164" s="483"/>
      <c r="J164" s="817"/>
      <c r="K164" s="817"/>
      <c r="L164" s="711">
        <f t="shared" si="79"/>
        <v>0</v>
      </c>
      <c r="M164" s="711">
        <f t="shared" si="80"/>
        <v>0</v>
      </c>
      <c r="N164" s="485" t="str">
        <f t="shared" si="74"/>
        <v/>
      </c>
      <c r="O164" s="749"/>
      <c r="P164" s="742"/>
      <c r="Q164" s="743"/>
      <c r="R164" s="741"/>
      <c r="S164" s="737"/>
      <c r="T164" s="743"/>
      <c r="U164" s="741"/>
      <c r="V164" s="779">
        <f t="shared" si="87"/>
        <v>0</v>
      </c>
      <c r="W164" s="562">
        <f t="shared" si="88"/>
        <v>0</v>
      </c>
      <c r="X164" s="749"/>
      <c r="Y164" s="744"/>
      <c r="Z164" s="743"/>
      <c r="AA164" s="741"/>
      <c r="AB164" s="391"/>
      <c r="AC164" s="447"/>
      <c r="AD164" s="132"/>
      <c r="AE164" s="132"/>
      <c r="AF164" s="132"/>
      <c r="AG164" s="551">
        <f t="shared" si="77"/>
        <v>0</v>
      </c>
      <c r="AH164" s="414"/>
      <c r="AI164" s="414"/>
      <c r="AJ164" s="414"/>
      <c r="AK164" s="414"/>
      <c r="AL164" s="414"/>
      <c r="AM164" s="414"/>
      <c r="AN164" s="414"/>
      <c r="AO164" s="414"/>
      <c r="AP164" s="258"/>
      <c r="AQ164" s="258"/>
      <c r="AR164" s="417"/>
      <c r="AS164" s="417"/>
      <c r="AT164" s="417"/>
      <c r="AU164" s="417"/>
      <c r="AV164" s="417"/>
      <c r="AW164" s="417"/>
      <c r="AX164" s="417"/>
      <c r="AY164" s="417"/>
      <c r="AZ164" s="417"/>
      <c r="BA164" s="417"/>
      <c r="BB164" s="417"/>
      <c r="BC164" s="417"/>
      <c r="BD164" s="417"/>
      <c r="BE164" s="417"/>
      <c r="BF164" s="417"/>
      <c r="BG164" s="417"/>
      <c r="BH164" s="417"/>
      <c r="BI164" s="417"/>
      <c r="BJ164" s="417"/>
      <c r="BK164" s="417"/>
      <c r="BL164" s="417"/>
      <c r="BM164" s="417"/>
      <c r="BN164" s="417"/>
      <c r="BO164" s="417"/>
      <c r="BP164" s="417"/>
      <c r="BQ164" s="417"/>
      <c r="BR164" s="417"/>
      <c r="BS164" s="417"/>
      <c r="BT164" s="417"/>
      <c r="BU164" s="417"/>
      <c r="BV164" s="417"/>
      <c r="BW164" s="417"/>
      <c r="BX164" s="417"/>
      <c r="BY164" s="417"/>
      <c r="BZ164" s="417"/>
    </row>
    <row r="165" spans="1:78" s="125" customFormat="1" ht="12.75" hidden="1" customHeight="1" outlineLevel="1" x14ac:dyDescent="0.2">
      <c r="A165" s="535" t="s">
        <v>914</v>
      </c>
      <c r="B165" s="133"/>
      <c r="C165" s="118">
        <v>0</v>
      </c>
      <c r="D165" s="545"/>
      <c r="E165" s="119"/>
      <c r="F165" s="498"/>
      <c r="G165" s="551">
        <f t="shared" ref="G165:G169" si="89">C165*E165</f>
        <v>0</v>
      </c>
      <c r="H165" s="455"/>
      <c r="I165" s="483"/>
      <c r="J165" s="817"/>
      <c r="K165" s="817"/>
      <c r="L165" s="711">
        <f t="shared" si="79"/>
        <v>0</v>
      </c>
      <c r="M165" s="711">
        <f t="shared" si="80"/>
        <v>0</v>
      </c>
      <c r="N165" s="485" t="str">
        <f t="shared" ref="N165:N169" si="90">IF((L165+M165)&gt;G165,"?","")</f>
        <v/>
      </c>
      <c r="O165" s="749"/>
      <c r="P165" s="742"/>
      <c r="Q165" s="743"/>
      <c r="R165" s="741"/>
      <c r="S165" s="737"/>
      <c r="T165" s="743"/>
      <c r="U165" s="741"/>
      <c r="V165" s="779">
        <f t="shared" si="87"/>
        <v>0</v>
      </c>
      <c r="W165" s="562">
        <f t="shared" si="88"/>
        <v>0</v>
      </c>
      <c r="X165" s="749"/>
      <c r="Y165" s="744"/>
      <c r="Z165" s="743"/>
      <c r="AA165" s="741"/>
      <c r="AB165" s="391"/>
      <c r="AC165" s="447"/>
      <c r="AD165" s="132"/>
      <c r="AE165" s="132"/>
      <c r="AF165" s="132"/>
      <c r="AG165" s="551">
        <f t="shared" ref="AG165:AG204" si="91">SUM(G165,AD165:AF165)</f>
        <v>0</v>
      </c>
      <c r="AH165" s="414"/>
      <c r="AI165" s="414"/>
      <c r="AJ165" s="414"/>
      <c r="AK165" s="414"/>
      <c r="AL165" s="414"/>
      <c r="AM165" s="414"/>
      <c r="AN165" s="414"/>
      <c r="AO165" s="414"/>
      <c r="AP165" s="258"/>
      <c r="AQ165" s="258"/>
      <c r="AR165" s="417"/>
      <c r="AS165" s="417"/>
      <c r="AT165" s="417"/>
      <c r="AU165" s="417"/>
      <c r="AV165" s="417"/>
      <c r="AW165" s="417"/>
      <c r="AX165" s="417"/>
      <c r="AY165" s="417"/>
      <c r="AZ165" s="417"/>
      <c r="BA165" s="417"/>
      <c r="BB165" s="417"/>
      <c r="BC165" s="417"/>
      <c r="BD165" s="417"/>
      <c r="BE165" s="417"/>
      <c r="BF165" s="417"/>
      <c r="BG165" s="417"/>
      <c r="BH165" s="417"/>
      <c r="BI165" s="417"/>
      <c r="BJ165" s="417"/>
      <c r="BK165" s="417"/>
      <c r="BL165" s="417"/>
      <c r="BM165" s="417"/>
      <c r="BN165" s="417"/>
      <c r="BO165" s="417"/>
      <c r="BP165" s="417"/>
      <c r="BQ165" s="417"/>
      <c r="BR165" s="417"/>
      <c r="BS165" s="417"/>
      <c r="BT165" s="417"/>
      <c r="BU165" s="417"/>
      <c r="BV165" s="417"/>
      <c r="BW165" s="417"/>
      <c r="BX165" s="417"/>
      <c r="BY165" s="417"/>
      <c r="BZ165" s="417"/>
    </row>
    <row r="166" spans="1:78" s="125" customFormat="1" ht="12.75" hidden="1" customHeight="1" outlineLevel="1" x14ac:dyDescent="0.2">
      <c r="A166" s="535" t="s">
        <v>915</v>
      </c>
      <c r="B166" s="133"/>
      <c r="C166" s="118">
        <v>0</v>
      </c>
      <c r="D166" s="545"/>
      <c r="E166" s="119"/>
      <c r="F166" s="498"/>
      <c r="G166" s="551">
        <f t="shared" si="89"/>
        <v>0</v>
      </c>
      <c r="H166" s="455"/>
      <c r="I166" s="483"/>
      <c r="J166" s="817"/>
      <c r="K166" s="817"/>
      <c r="L166" s="711">
        <f t="shared" si="79"/>
        <v>0</v>
      </c>
      <c r="M166" s="711">
        <f t="shared" si="80"/>
        <v>0</v>
      </c>
      <c r="N166" s="485" t="str">
        <f t="shared" si="90"/>
        <v/>
      </c>
      <c r="O166" s="749"/>
      <c r="P166" s="742"/>
      <c r="Q166" s="743"/>
      <c r="R166" s="741"/>
      <c r="S166" s="737"/>
      <c r="T166" s="743"/>
      <c r="U166" s="741"/>
      <c r="V166" s="779">
        <f t="shared" si="87"/>
        <v>0</v>
      </c>
      <c r="W166" s="562">
        <f t="shared" si="88"/>
        <v>0</v>
      </c>
      <c r="X166" s="749"/>
      <c r="Y166" s="744"/>
      <c r="Z166" s="743"/>
      <c r="AA166" s="741"/>
      <c r="AB166" s="391"/>
      <c r="AC166" s="447"/>
      <c r="AD166" s="132"/>
      <c r="AE166" s="132"/>
      <c r="AF166" s="132"/>
      <c r="AG166" s="551">
        <f t="shared" si="91"/>
        <v>0</v>
      </c>
      <c r="AH166" s="414"/>
      <c r="AI166" s="414"/>
      <c r="AJ166" s="414"/>
      <c r="AK166" s="414"/>
      <c r="AL166" s="414"/>
      <c r="AM166" s="414"/>
      <c r="AN166" s="414"/>
      <c r="AO166" s="414"/>
      <c r="AP166" s="258"/>
      <c r="AQ166" s="258"/>
      <c r="AR166" s="417"/>
      <c r="AS166" s="417"/>
      <c r="AT166" s="417"/>
      <c r="AU166" s="417"/>
      <c r="AV166" s="417"/>
      <c r="AW166" s="417"/>
      <c r="AX166" s="417"/>
      <c r="AY166" s="417"/>
      <c r="AZ166" s="417"/>
      <c r="BA166" s="417"/>
      <c r="BB166" s="417"/>
      <c r="BC166" s="417"/>
      <c r="BD166" s="417"/>
      <c r="BE166" s="417"/>
      <c r="BF166" s="417"/>
      <c r="BG166" s="417"/>
      <c r="BH166" s="417"/>
      <c r="BI166" s="417"/>
      <c r="BJ166" s="417"/>
      <c r="BK166" s="417"/>
      <c r="BL166" s="417"/>
      <c r="BM166" s="417"/>
      <c r="BN166" s="417"/>
      <c r="BO166" s="417"/>
      <c r="BP166" s="417"/>
      <c r="BQ166" s="417"/>
      <c r="BR166" s="417"/>
      <c r="BS166" s="417"/>
      <c r="BT166" s="417"/>
      <c r="BU166" s="417"/>
      <c r="BV166" s="417"/>
      <c r="BW166" s="417"/>
      <c r="BX166" s="417"/>
      <c r="BY166" s="417"/>
      <c r="BZ166" s="417"/>
    </row>
    <row r="167" spans="1:78" s="125" customFormat="1" ht="12.75" hidden="1" customHeight="1" outlineLevel="1" x14ac:dyDescent="0.2">
      <c r="A167" s="535" t="s">
        <v>916</v>
      </c>
      <c r="B167" s="133"/>
      <c r="C167" s="118">
        <v>0</v>
      </c>
      <c r="D167" s="545"/>
      <c r="E167" s="119"/>
      <c r="F167" s="498"/>
      <c r="G167" s="551">
        <f t="shared" si="89"/>
        <v>0</v>
      </c>
      <c r="H167" s="455"/>
      <c r="I167" s="483"/>
      <c r="J167" s="817"/>
      <c r="K167" s="817"/>
      <c r="L167" s="711">
        <f t="shared" si="79"/>
        <v>0</v>
      </c>
      <c r="M167" s="711">
        <f t="shared" si="80"/>
        <v>0</v>
      </c>
      <c r="N167" s="485" t="str">
        <f t="shared" si="90"/>
        <v/>
      </c>
      <c r="O167" s="749"/>
      <c r="P167" s="742"/>
      <c r="Q167" s="743"/>
      <c r="R167" s="741"/>
      <c r="S167" s="737"/>
      <c r="T167" s="743"/>
      <c r="U167" s="741"/>
      <c r="V167" s="779">
        <f t="shared" ref="V167:V204" si="92">SUM(T167:U167)</f>
        <v>0</v>
      </c>
      <c r="W167" s="562">
        <f t="shared" ref="W167:W204" si="93">G167-V167</f>
        <v>0</v>
      </c>
      <c r="X167" s="749"/>
      <c r="Y167" s="744"/>
      <c r="Z167" s="743"/>
      <c r="AA167" s="741"/>
      <c r="AB167" s="391"/>
      <c r="AC167" s="447"/>
      <c r="AD167" s="132"/>
      <c r="AE167" s="132"/>
      <c r="AF167" s="132"/>
      <c r="AG167" s="551">
        <f t="shared" si="91"/>
        <v>0</v>
      </c>
      <c r="AH167" s="414"/>
      <c r="AI167" s="414"/>
      <c r="AJ167" s="414"/>
      <c r="AK167" s="414"/>
      <c r="AL167" s="414"/>
      <c r="AM167" s="414"/>
      <c r="AN167" s="414"/>
      <c r="AO167" s="414"/>
      <c r="AP167" s="258"/>
      <c r="AQ167" s="258"/>
      <c r="AR167" s="417"/>
      <c r="AS167" s="417"/>
      <c r="AT167" s="417"/>
      <c r="AU167" s="417"/>
      <c r="AV167" s="417"/>
      <c r="AW167" s="417"/>
      <c r="AX167" s="417"/>
      <c r="AY167" s="417"/>
      <c r="AZ167" s="417"/>
      <c r="BA167" s="417"/>
      <c r="BB167" s="417"/>
      <c r="BC167" s="417"/>
      <c r="BD167" s="417"/>
      <c r="BE167" s="417"/>
      <c r="BF167" s="417"/>
      <c r="BG167" s="417"/>
      <c r="BH167" s="417"/>
      <c r="BI167" s="417"/>
      <c r="BJ167" s="417"/>
      <c r="BK167" s="417"/>
      <c r="BL167" s="417"/>
      <c r="BM167" s="417"/>
      <c r="BN167" s="417"/>
      <c r="BO167" s="417"/>
      <c r="BP167" s="417"/>
      <c r="BQ167" s="417"/>
      <c r="BR167" s="417"/>
      <c r="BS167" s="417"/>
      <c r="BT167" s="417"/>
      <c r="BU167" s="417"/>
      <c r="BV167" s="417"/>
      <c r="BW167" s="417"/>
      <c r="BX167" s="417"/>
      <c r="BY167" s="417"/>
      <c r="BZ167" s="417"/>
    </row>
    <row r="168" spans="1:78" s="125" customFormat="1" ht="12.75" hidden="1" customHeight="1" outlineLevel="1" x14ac:dyDescent="0.2">
      <c r="A168" s="535" t="s">
        <v>917</v>
      </c>
      <c r="B168" s="133"/>
      <c r="C168" s="118">
        <v>0</v>
      </c>
      <c r="D168" s="545"/>
      <c r="E168" s="119"/>
      <c r="F168" s="498"/>
      <c r="G168" s="551">
        <f t="shared" si="89"/>
        <v>0</v>
      </c>
      <c r="H168" s="455"/>
      <c r="I168" s="483"/>
      <c r="J168" s="817"/>
      <c r="K168" s="817"/>
      <c r="L168" s="711">
        <f t="shared" si="79"/>
        <v>0</v>
      </c>
      <c r="M168" s="711">
        <f t="shared" si="80"/>
        <v>0</v>
      </c>
      <c r="N168" s="485" t="str">
        <f t="shared" si="90"/>
        <v/>
      </c>
      <c r="O168" s="749"/>
      <c r="P168" s="742"/>
      <c r="Q168" s="743"/>
      <c r="R168" s="741"/>
      <c r="S168" s="737"/>
      <c r="T168" s="743"/>
      <c r="U168" s="741"/>
      <c r="V168" s="779">
        <f t="shared" si="92"/>
        <v>0</v>
      </c>
      <c r="W168" s="562">
        <f t="shared" si="93"/>
        <v>0</v>
      </c>
      <c r="X168" s="749"/>
      <c r="Y168" s="744"/>
      <c r="Z168" s="743"/>
      <c r="AA168" s="741"/>
      <c r="AB168" s="391"/>
      <c r="AC168" s="447"/>
      <c r="AD168" s="132"/>
      <c r="AE168" s="132"/>
      <c r="AF168" s="132"/>
      <c r="AG168" s="551">
        <f t="shared" si="91"/>
        <v>0</v>
      </c>
      <c r="AH168" s="414"/>
      <c r="AI168" s="414"/>
      <c r="AJ168" s="414"/>
      <c r="AK168" s="414"/>
      <c r="AL168" s="414"/>
      <c r="AM168" s="414"/>
      <c r="AN168" s="414"/>
      <c r="AO168" s="414"/>
      <c r="AP168" s="258"/>
      <c r="AQ168" s="258"/>
      <c r="AR168" s="417"/>
      <c r="AS168" s="417"/>
      <c r="AT168" s="417"/>
      <c r="AU168" s="417"/>
      <c r="AV168" s="417"/>
      <c r="AW168" s="417"/>
      <c r="AX168" s="417"/>
      <c r="AY168" s="417"/>
      <c r="AZ168" s="417"/>
      <c r="BA168" s="417"/>
      <c r="BB168" s="417"/>
      <c r="BC168" s="417"/>
      <c r="BD168" s="417"/>
      <c r="BE168" s="417"/>
      <c r="BF168" s="417"/>
      <c r="BG168" s="417"/>
      <c r="BH168" s="417"/>
      <c r="BI168" s="417"/>
      <c r="BJ168" s="417"/>
      <c r="BK168" s="417"/>
      <c r="BL168" s="417"/>
      <c r="BM168" s="417"/>
      <c r="BN168" s="417"/>
      <c r="BO168" s="417"/>
      <c r="BP168" s="417"/>
      <c r="BQ168" s="417"/>
      <c r="BR168" s="417"/>
      <c r="BS168" s="417"/>
      <c r="BT168" s="417"/>
      <c r="BU168" s="417"/>
      <c r="BV168" s="417"/>
      <c r="BW168" s="417"/>
      <c r="BX168" s="417"/>
      <c r="BY168" s="417"/>
      <c r="BZ168" s="417"/>
    </row>
    <row r="169" spans="1:78" s="125" customFormat="1" ht="12.75" hidden="1" customHeight="1" outlineLevel="1" x14ac:dyDescent="0.2">
      <c r="A169" s="535" t="s">
        <v>918</v>
      </c>
      <c r="B169" s="133"/>
      <c r="C169" s="118">
        <v>0</v>
      </c>
      <c r="D169" s="545"/>
      <c r="E169" s="119"/>
      <c r="F169" s="498"/>
      <c r="G169" s="551">
        <f t="shared" si="89"/>
        <v>0</v>
      </c>
      <c r="H169" s="455"/>
      <c r="I169" s="483"/>
      <c r="J169" s="817"/>
      <c r="K169" s="817"/>
      <c r="L169" s="711">
        <f t="shared" si="79"/>
        <v>0</v>
      </c>
      <c r="M169" s="711">
        <f t="shared" si="80"/>
        <v>0</v>
      </c>
      <c r="N169" s="485" t="str">
        <f t="shared" si="90"/>
        <v/>
      </c>
      <c r="O169" s="749"/>
      <c r="P169" s="742"/>
      <c r="Q169" s="743"/>
      <c r="R169" s="741"/>
      <c r="S169" s="737"/>
      <c r="T169" s="743"/>
      <c r="U169" s="741"/>
      <c r="V169" s="779">
        <f t="shared" si="92"/>
        <v>0</v>
      </c>
      <c r="W169" s="562">
        <f t="shared" si="93"/>
        <v>0</v>
      </c>
      <c r="X169" s="749"/>
      <c r="Y169" s="744"/>
      <c r="Z169" s="743"/>
      <c r="AA169" s="741"/>
      <c r="AB169" s="391"/>
      <c r="AC169" s="447"/>
      <c r="AD169" s="132"/>
      <c r="AE169" s="132"/>
      <c r="AF169" s="132"/>
      <c r="AG169" s="551">
        <f t="shared" si="91"/>
        <v>0</v>
      </c>
      <c r="AH169" s="414"/>
      <c r="AI169" s="414"/>
      <c r="AJ169" s="414"/>
      <c r="AK169" s="414"/>
      <c r="AL169" s="414"/>
      <c r="AM169" s="414"/>
      <c r="AN169" s="414"/>
      <c r="AO169" s="414"/>
      <c r="AP169" s="258"/>
      <c r="AQ169" s="258"/>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row>
    <row r="170" spans="1:78" s="125" customFormat="1" ht="12.75" hidden="1" customHeight="1" outlineLevel="1" x14ac:dyDescent="0.2">
      <c r="A170" s="535" t="s">
        <v>974</v>
      </c>
      <c r="B170" s="133"/>
      <c r="C170" s="118">
        <v>0</v>
      </c>
      <c r="D170" s="545"/>
      <c r="E170" s="119"/>
      <c r="F170" s="498"/>
      <c r="G170" s="551">
        <f t="shared" ref="G170:G204" si="94">C170*E170</f>
        <v>0</v>
      </c>
      <c r="H170" s="455"/>
      <c r="I170" s="483"/>
      <c r="J170" s="817"/>
      <c r="K170" s="817"/>
      <c r="L170" s="711">
        <f t="shared" ref="L170:L204" si="95">G170*J170</f>
        <v>0</v>
      </c>
      <c r="M170" s="711">
        <f t="shared" ref="M170:M204" si="96">G170*K170</f>
        <v>0</v>
      </c>
      <c r="N170" s="485" t="str">
        <f t="shared" ref="N170:N204" si="97">IF((L170+M170)&gt;G170,"?","")</f>
        <v/>
      </c>
      <c r="O170" s="749"/>
      <c r="P170" s="742"/>
      <c r="Q170" s="743"/>
      <c r="R170" s="741"/>
      <c r="S170" s="737"/>
      <c r="T170" s="743"/>
      <c r="U170" s="741"/>
      <c r="V170" s="779">
        <f t="shared" si="92"/>
        <v>0</v>
      </c>
      <c r="W170" s="562">
        <f t="shared" si="93"/>
        <v>0</v>
      </c>
      <c r="X170" s="749"/>
      <c r="Y170" s="744"/>
      <c r="Z170" s="743"/>
      <c r="AA170" s="741"/>
      <c r="AB170" s="391"/>
      <c r="AC170" s="447"/>
      <c r="AD170" s="132"/>
      <c r="AE170" s="132"/>
      <c r="AF170" s="132"/>
      <c r="AG170" s="551">
        <f t="shared" si="91"/>
        <v>0</v>
      </c>
      <c r="AH170" s="414"/>
      <c r="AI170" s="414"/>
      <c r="AJ170" s="414"/>
      <c r="AK170" s="414"/>
      <c r="AL170" s="414"/>
      <c r="AM170" s="414"/>
      <c r="AN170" s="414"/>
      <c r="AO170" s="414"/>
      <c r="AP170" s="258"/>
      <c r="AQ170" s="258"/>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row>
    <row r="171" spans="1:78" s="125" customFormat="1" ht="12.75" hidden="1" customHeight="1" outlineLevel="1" x14ac:dyDescent="0.2">
      <c r="A171" s="535" t="s">
        <v>975</v>
      </c>
      <c r="B171" s="133"/>
      <c r="C171" s="118">
        <v>0</v>
      </c>
      <c r="D171" s="545"/>
      <c r="E171" s="119"/>
      <c r="F171" s="498"/>
      <c r="G171" s="551">
        <f t="shared" si="94"/>
        <v>0</v>
      </c>
      <c r="H171" s="455"/>
      <c r="I171" s="483"/>
      <c r="J171" s="817"/>
      <c r="K171" s="817"/>
      <c r="L171" s="711">
        <f t="shared" si="95"/>
        <v>0</v>
      </c>
      <c r="M171" s="711">
        <f t="shared" si="96"/>
        <v>0</v>
      </c>
      <c r="N171" s="485" t="str">
        <f t="shared" si="97"/>
        <v/>
      </c>
      <c r="O171" s="749"/>
      <c r="P171" s="742"/>
      <c r="Q171" s="743"/>
      <c r="R171" s="741"/>
      <c r="S171" s="737"/>
      <c r="T171" s="743"/>
      <c r="U171" s="741"/>
      <c r="V171" s="779">
        <f t="shared" si="92"/>
        <v>0</v>
      </c>
      <c r="W171" s="562">
        <f t="shared" si="93"/>
        <v>0</v>
      </c>
      <c r="X171" s="749"/>
      <c r="Y171" s="744"/>
      <c r="Z171" s="743"/>
      <c r="AA171" s="741"/>
      <c r="AB171" s="391"/>
      <c r="AC171" s="447"/>
      <c r="AD171" s="132"/>
      <c r="AE171" s="132"/>
      <c r="AF171" s="132"/>
      <c r="AG171" s="551">
        <f t="shared" si="91"/>
        <v>0</v>
      </c>
      <c r="AH171" s="414"/>
      <c r="AI171" s="414"/>
      <c r="AJ171" s="414"/>
      <c r="AK171" s="414"/>
      <c r="AL171" s="414"/>
      <c r="AM171" s="414"/>
      <c r="AN171" s="414"/>
      <c r="AO171" s="414"/>
      <c r="AP171" s="258"/>
      <c r="AQ171" s="258"/>
      <c r="AR171" s="417"/>
      <c r="AS171" s="417"/>
      <c r="AT171" s="417"/>
      <c r="AU171" s="417"/>
      <c r="AV171" s="417"/>
      <c r="AW171" s="417"/>
      <c r="AX171" s="417"/>
      <c r="AY171" s="417"/>
      <c r="AZ171" s="417"/>
      <c r="BA171" s="417"/>
      <c r="BB171" s="417"/>
      <c r="BC171" s="417"/>
      <c r="BD171" s="417"/>
      <c r="BE171" s="417"/>
      <c r="BF171" s="417"/>
      <c r="BG171" s="417"/>
      <c r="BH171" s="417"/>
      <c r="BI171" s="417"/>
      <c r="BJ171" s="417"/>
      <c r="BK171" s="417"/>
      <c r="BL171" s="417"/>
      <c r="BM171" s="417"/>
      <c r="BN171" s="417"/>
      <c r="BO171" s="417"/>
      <c r="BP171" s="417"/>
      <c r="BQ171" s="417"/>
      <c r="BR171" s="417"/>
      <c r="BS171" s="417"/>
      <c r="BT171" s="417"/>
      <c r="BU171" s="417"/>
      <c r="BV171" s="417"/>
      <c r="BW171" s="417"/>
      <c r="BX171" s="417"/>
      <c r="BY171" s="417"/>
      <c r="BZ171" s="417"/>
    </row>
    <row r="172" spans="1:78" s="125" customFormat="1" ht="12.75" hidden="1" customHeight="1" outlineLevel="1" x14ac:dyDescent="0.2">
      <c r="A172" s="535" t="s">
        <v>976</v>
      </c>
      <c r="B172" s="133"/>
      <c r="C172" s="118">
        <v>0</v>
      </c>
      <c r="D172" s="545"/>
      <c r="E172" s="119"/>
      <c r="F172" s="498"/>
      <c r="G172" s="551">
        <f t="shared" si="94"/>
        <v>0</v>
      </c>
      <c r="H172" s="455"/>
      <c r="I172" s="483"/>
      <c r="J172" s="817"/>
      <c r="K172" s="817"/>
      <c r="L172" s="711">
        <f t="shared" si="95"/>
        <v>0</v>
      </c>
      <c r="M172" s="711">
        <f t="shared" si="96"/>
        <v>0</v>
      </c>
      <c r="N172" s="485" t="str">
        <f t="shared" si="97"/>
        <v/>
      </c>
      <c r="O172" s="749"/>
      <c r="P172" s="742"/>
      <c r="Q172" s="743"/>
      <c r="R172" s="741"/>
      <c r="S172" s="737"/>
      <c r="T172" s="743"/>
      <c r="U172" s="741"/>
      <c r="V172" s="779">
        <f t="shared" si="92"/>
        <v>0</v>
      </c>
      <c r="W172" s="562">
        <f t="shared" si="93"/>
        <v>0</v>
      </c>
      <c r="X172" s="749"/>
      <c r="Y172" s="744"/>
      <c r="Z172" s="743"/>
      <c r="AA172" s="741"/>
      <c r="AB172" s="391"/>
      <c r="AC172" s="447"/>
      <c r="AD172" s="132"/>
      <c r="AE172" s="132"/>
      <c r="AF172" s="132"/>
      <c r="AG172" s="551">
        <f t="shared" si="91"/>
        <v>0</v>
      </c>
      <c r="AH172" s="414"/>
      <c r="AI172" s="414"/>
      <c r="AJ172" s="414"/>
      <c r="AK172" s="414"/>
      <c r="AL172" s="414"/>
      <c r="AM172" s="414"/>
      <c r="AN172" s="414"/>
      <c r="AO172" s="414"/>
      <c r="AP172" s="258"/>
      <c r="AQ172" s="258"/>
      <c r="AR172" s="417"/>
      <c r="AS172" s="417"/>
      <c r="AT172" s="417"/>
      <c r="AU172" s="417"/>
      <c r="AV172" s="417"/>
      <c r="AW172" s="417"/>
      <c r="AX172" s="417"/>
      <c r="AY172" s="417"/>
      <c r="AZ172" s="417"/>
      <c r="BA172" s="417"/>
      <c r="BB172" s="417"/>
      <c r="BC172" s="417"/>
      <c r="BD172" s="417"/>
      <c r="BE172" s="417"/>
      <c r="BF172" s="417"/>
      <c r="BG172" s="417"/>
      <c r="BH172" s="417"/>
      <c r="BI172" s="417"/>
      <c r="BJ172" s="417"/>
      <c r="BK172" s="417"/>
      <c r="BL172" s="417"/>
      <c r="BM172" s="417"/>
      <c r="BN172" s="417"/>
      <c r="BO172" s="417"/>
      <c r="BP172" s="417"/>
      <c r="BQ172" s="417"/>
      <c r="BR172" s="417"/>
      <c r="BS172" s="417"/>
      <c r="BT172" s="417"/>
      <c r="BU172" s="417"/>
      <c r="BV172" s="417"/>
      <c r="BW172" s="417"/>
      <c r="BX172" s="417"/>
      <c r="BY172" s="417"/>
      <c r="BZ172" s="417"/>
    </row>
    <row r="173" spans="1:78" s="125" customFormat="1" ht="12.75" hidden="1" customHeight="1" outlineLevel="1" x14ac:dyDescent="0.2">
      <c r="A173" s="535" t="s">
        <v>977</v>
      </c>
      <c r="B173" s="133"/>
      <c r="C173" s="118">
        <v>0</v>
      </c>
      <c r="D173" s="545"/>
      <c r="E173" s="119"/>
      <c r="F173" s="498"/>
      <c r="G173" s="551">
        <f t="shared" si="94"/>
        <v>0</v>
      </c>
      <c r="H173" s="455"/>
      <c r="I173" s="483"/>
      <c r="J173" s="817"/>
      <c r="K173" s="817"/>
      <c r="L173" s="711">
        <f t="shared" si="95"/>
        <v>0</v>
      </c>
      <c r="M173" s="711">
        <f t="shared" si="96"/>
        <v>0</v>
      </c>
      <c r="N173" s="485" t="str">
        <f t="shared" si="97"/>
        <v/>
      </c>
      <c r="O173" s="749"/>
      <c r="P173" s="742"/>
      <c r="Q173" s="743"/>
      <c r="R173" s="741"/>
      <c r="S173" s="737"/>
      <c r="T173" s="743"/>
      <c r="U173" s="741"/>
      <c r="V173" s="779">
        <f t="shared" si="92"/>
        <v>0</v>
      </c>
      <c r="W173" s="562">
        <f t="shared" si="93"/>
        <v>0</v>
      </c>
      <c r="X173" s="749"/>
      <c r="Y173" s="744"/>
      <c r="Z173" s="743"/>
      <c r="AA173" s="741"/>
      <c r="AB173" s="391"/>
      <c r="AC173" s="447"/>
      <c r="AD173" s="132"/>
      <c r="AE173" s="132"/>
      <c r="AF173" s="132"/>
      <c r="AG173" s="551">
        <f t="shared" si="91"/>
        <v>0</v>
      </c>
      <c r="AH173" s="414"/>
      <c r="AI173" s="414"/>
      <c r="AJ173" s="414"/>
      <c r="AK173" s="414"/>
      <c r="AL173" s="414"/>
      <c r="AM173" s="414"/>
      <c r="AN173" s="414"/>
      <c r="AO173" s="414"/>
      <c r="AP173" s="258"/>
      <c r="AQ173" s="258"/>
      <c r="AR173" s="417"/>
      <c r="AS173" s="417"/>
      <c r="AT173" s="417"/>
      <c r="AU173" s="417"/>
      <c r="AV173" s="417"/>
      <c r="AW173" s="417"/>
      <c r="AX173" s="417"/>
      <c r="AY173" s="417"/>
      <c r="AZ173" s="417"/>
      <c r="BA173" s="417"/>
      <c r="BB173" s="417"/>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row>
    <row r="174" spans="1:78" s="125" customFormat="1" ht="12.75" hidden="1" customHeight="1" outlineLevel="1" x14ac:dyDescent="0.2">
      <c r="A174" s="535" t="s">
        <v>978</v>
      </c>
      <c r="B174" s="133"/>
      <c r="C174" s="118">
        <v>0</v>
      </c>
      <c r="D174" s="545"/>
      <c r="E174" s="119"/>
      <c r="F174" s="498"/>
      <c r="G174" s="551">
        <f t="shared" si="94"/>
        <v>0</v>
      </c>
      <c r="H174" s="455"/>
      <c r="I174" s="483"/>
      <c r="J174" s="817"/>
      <c r="K174" s="817"/>
      <c r="L174" s="711">
        <f t="shared" si="95"/>
        <v>0</v>
      </c>
      <c r="M174" s="711">
        <f t="shared" si="96"/>
        <v>0</v>
      </c>
      <c r="N174" s="485" t="str">
        <f t="shared" si="97"/>
        <v/>
      </c>
      <c r="O174" s="749"/>
      <c r="P174" s="742"/>
      <c r="Q174" s="743"/>
      <c r="R174" s="741"/>
      <c r="S174" s="737"/>
      <c r="T174" s="743"/>
      <c r="U174" s="741"/>
      <c r="V174" s="779">
        <f t="shared" si="92"/>
        <v>0</v>
      </c>
      <c r="W174" s="562">
        <f t="shared" si="93"/>
        <v>0</v>
      </c>
      <c r="X174" s="749"/>
      <c r="Y174" s="744"/>
      <c r="Z174" s="743"/>
      <c r="AA174" s="741"/>
      <c r="AB174" s="391"/>
      <c r="AC174" s="447"/>
      <c r="AD174" s="132"/>
      <c r="AE174" s="132"/>
      <c r="AF174" s="132"/>
      <c r="AG174" s="551">
        <f t="shared" si="91"/>
        <v>0</v>
      </c>
      <c r="AH174" s="414"/>
      <c r="AI174" s="414"/>
      <c r="AJ174" s="414"/>
      <c r="AK174" s="414"/>
      <c r="AL174" s="414"/>
      <c r="AM174" s="414"/>
      <c r="AN174" s="414"/>
      <c r="AO174" s="414"/>
      <c r="AP174" s="258"/>
      <c r="AQ174" s="258"/>
      <c r="AR174" s="417"/>
      <c r="AS174" s="417"/>
      <c r="AT174" s="417"/>
      <c r="AU174" s="417"/>
      <c r="AV174" s="417"/>
      <c r="AW174" s="417"/>
      <c r="AX174" s="417"/>
      <c r="AY174" s="417"/>
      <c r="AZ174" s="417"/>
      <c r="BA174" s="417"/>
      <c r="BB174" s="417"/>
      <c r="BC174" s="417"/>
      <c r="BD174" s="417"/>
      <c r="BE174" s="417"/>
      <c r="BF174" s="417"/>
      <c r="BG174" s="417"/>
      <c r="BH174" s="417"/>
      <c r="BI174" s="417"/>
      <c r="BJ174" s="417"/>
      <c r="BK174" s="417"/>
      <c r="BL174" s="417"/>
      <c r="BM174" s="417"/>
      <c r="BN174" s="417"/>
      <c r="BO174" s="417"/>
      <c r="BP174" s="417"/>
      <c r="BQ174" s="417"/>
      <c r="BR174" s="417"/>
      <c r="BS174" s="417"/>
      <c r="BT174" s="417"/>
      <c r="BU174" s="417"/>
      <c r="BV174" s="417"/>
      <c r="BW174" s="417"/>
      <c r="BX174" s="417"/>
      <c r="BY174" s="417"/>
      <c r="BZ174" s="417"/>
    </row>
    <row r="175" spans="1:78" s="125" customFormat="1" ht="12.75" hidden="1" customHeight="1" outlineLevel="1" x14ac:dyDescent="0.2">
      <c r="A175" s="535" t="s">
        <v>979</v>
      </c>
      <c r="B175" s="133"/>
      <c r="C175" s="118">
        <v>0</v>
      </c>
      <c r="D175" s="545"/>
      <c r="E175" s="119"/>
      <c r="F175" s="498"/>
      <c r="G175" s="551">
        <f t="shared" si="94"/>
        <v>0</v>
      </c>
      <c r="H175" s="455"/>
      <c r="I175" s="483"/>
      <c r="J175" s="817"/>
      <c r="K175" s="817"/>
      <c r="L175" s="711">
        <f t="shared" si="95"/>
        <v>0</v>
      </c>
      <c r="M175" s="711">
        <f t="shared" si="96"/>
        <v>0</v>
      </c>
      <c r="N175" s="485" t="str">
        <f t="shared" si="97"/>
        <v/>
      </c>
      <c r="O175" s="749"/>
      <c r="P175" s="742"/>
      <c r="Q175" s="743"/>
      <c r="R175" s="741"/>
      <c r="S175" s="737"/>
      <c r="T175" s="743"/>
      <c r="U175" s="741"/>
      <c r="V175" s="779">
        <f t="shared" si="92"/>
        <v>0</v>
      </c>
      <c r="W175" s="562">
        <f t="shared" si="93"/>
        <v>0</v>
      </c>
      <c r="X175" s="749"/>
      <c r="Y175" s="744"/>
      <c r="Z175" s="743"/>
      <c r="AA175" s="741"/>
      <c r="AB175" s="391"/>
      <c r="AC175" s="447"/>
      <c r="AD175" s="132"/>
      <c r="AE175" s="132"/>
      <c r="AF175" s="132"/>
      <c r="AG175" s="551">
        <f t="shared" si="91"/>
        <v>0</v>
      </c>
      <c r="AH175" s="414"/>
      <c r="AI175" s="414"/>
      <c r="AJ175" s="414"/>
      <c r="AK175" s="414"/>
      <c r="AL175" s="414"/>
      <c r="AM175" s="414"/>
      <c r="AN175" s="414"/>
      <c r="AO175" s="414"/>
      <c r="AP175" s="258"/>
      <c r="AQ175" s="258"/>
      <c r="AR175" s="417"/>
      <c r="AS175" s="417"/>
      <c r="AT175" s="417"/>
      <c r="AU175" s="417"/>
      <c r="AV175" s="417"/>
      <c r="AW175" s="417"/>
      <c r="AX175" s="417"/>
      <c r="AY175" s="417"/>
      <c r="AZ175" s="417"/>
      <c r="BA175" s="417"/>
      <c r="BB175" s="417"/>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row>
    <row r="176" spans="1:78" s="125" customFormat="1" ht="12.75" hidden="1" customHeight="1" outlineLevel="1" x14ac:dyDescent="0.2">
      <c r="A176" s="535" t="s">
        <v>980</v>
      </c>
      <c r="B176" s="133"/>
      <c r="C176" s="118">
        <v>0</v>
      </c>
      <c r="D176" s="545"/>
      <c r="E176" s="119"/>
      <c r="F176" s="498"/>
      <c r="G176" s="551">
        <f t="shared" si="94"/>
        <v>0</v>
      </c>
      <c r="H176" s="455"/>
      <c r="I176" s="483"/>
      <c r="J176" s="817"/>
      <c r="K176" s="817"/>
      <c r="L176" s="711">
        <f t="shared" si="95"/>
        <v>0</v>
      </c>
      <c r="M176" s="711">
        <f t="shared" si="96"/>
        <v>0</v>
      </c>
      <c r="N176" s="485" t="str">
        <f t="shared" si="97"/>
        <v/>
      </c>
      <c r="O176" s="749"/>
      <c r="P176" s="742"/>
      <c r="Q176" s="743"/>
      <c r="R176" s="741"/>
      <c r="S176" s="737"/>
      <c r="T176" s="743"/>
      <c r="U176" s="741"/>
      <c r="V176" s="779">
        <f t="shared" si="92"/>
        <v>0</v>
      </c>
      <c r="W176" s="562">
        <f t="shared" si="93"/>
        <v>0</v>
      </c>
      <c r="X176" s="749"/>
      <c r="Y176" s="744"/>
      <c r="Z176" s="743"/>
      <c r="AA176" s="741"/>
      <c r="AB176" s="391"/>
      <c r="AC176" s="447"/>
      <c r="AD176" s="132"/>
      <c r="AE176" s="132"/>
      <c r="AF176" s="132"/>
      <c r="AG176" s="551">
        <f t="shared" si="91"/>
        <v>0</v>
      </c>
      <c r="AH176" s="414"/>
      <c r="AI176" s="414"/>
      <c r="AJ176" s="414"/>
      <c r="AK176" s="414"/>
      <c r="AL176" s="414"/>
      <c r="AM176" s="414"/>
      <c r="AN176" s="414"/>
      <c r="AO176" s="414"/>
      <c r="AP176" s="258"/>
      <c r="AQ176" s="258"/>
      <c r="AR176" s="417"/>
      <c r="AS176" s="417"/>
      <c r="AT176" s="417"/>
      <c r="AU176" s="417"/>
      <c r="AV176" s="417"/>
      <c r="AW176" s="417"/>
      <c r="AX176" s="417"/>
      <c r="AY176" s="417"/>
      <c r="AZ176" s="417"/>
      <c r="BA176" s="417"/>
      <c r="BB176" s="417"/>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row>
    <row r="177" spans="1:78" s="125" customFormat="1" ht="12.75" hidden="1" customHeight="1" outlineLevel="1" x14ac:dyDescent="0.2">
      <c r="A177" s="535" t="s">
        <v>981</v>
      </c>
      <c r="B177" s="133"/>
      <c r="C177" s="118">
        <v>0</v>
      </c>
      <c r="D177" s="545"/>
      <c r="E177" s="119"/>
      <c r="F177" s="498"/>
      <c r="G177" s="551">
        <f t="shared" si="94"/>
        <v>0</v>
      </c>
      <c r="H177" s="455"/>
      <c r="I177" s="483"/>
      <c r="J177" s="817"/>
      <c r="K177" s="817"/>
      <c r="L177" s="711">
        <f t="shared" si="95"/>
        <v>0</v>
      </c>
      <c r="M177" s="711">
        <f t="shared" si="96"/>
        <v>0</v>
      </c>
      <c r="N177" s="485" t="str">
        <f t="shared" si="97"/>
        <v/>
      </c>
      <c r="O177" s="749"/>
      <c r="P177" s="742"/>
      <c r="Q177" s="743"/>
      <c r="R177" s="741"/>
      <c r="S177" s="737"/>
      <c r="T177" s="743"/>
      <c r="U177" s="741"/>
      <c r="V177" s="779">
        <f t="shared" si="92"/>
        <v>0</v>
      </c>
      <c r="W177" s="562">
        <f t="shared" si="93"/>
        <v>0</v>
      </c>
      <c r="X177" s="749"/>
      <c r="Y177" s="744"/>
      <c r="Z177" s="743"/>
      <c r="AA177" s="741"/>
      <c r="AB177" s="391"/>
      <c r="AC177" s="447"/>
      <c r="AD177" s="132"/>
      <c r="AE177" s="132"/>
      <c r="AF177" s="132"/>
      <c r="AG177" s="551">
        <f t="shared" si="91"/>
        <v>0</v>
      </c>
      <c r="AH177" s="414"/>
      <c r="AI177" s="414"/>
      <c r="AJ177" s="414"/>
      <c r="AK177" s="414"/>
      <c r="AL177" s="414"/>
      <c r="AM177" s="414"/>
      <c r="AN177" s="414"/>
      <c r="AO177" s="414"/>
      <c r="AP177" s="258"/>
      <c r="AQ177" s="258"/>
      <c r="AR177" s="417"/>
      <c r="AS177" s="417"/>
      <c r="AT177" s="417"/>
      <c r="AU177" s="417"/>
      <c r="AV177" s="417"/>
      <c r="AW177" s="417"/>
      <c r="AX177" s="417"/>
      <c r="AY177" s="417"/>
      <c r="AZ177" s="417"/>
      <c r="BA177" s="417"/>
      <c r="BB177" s="417"/>
      <c r="BC177" s="417"/>
      <c r="BD177" s="417"/>
      <c r="BE177" s="417"/>
      <c r="BF177" s="417"/>
      <c r="BG177" s="417"/>
      <c r="BH177" s="417"/>
      <c r="BI177" s="417"/>
      <c r="BJ177" s="417"/>
      <c r="BK177" s="417"/>
      <c r="BL177" s="417"/>
      <c r="BM177" s="417"/>
      <c r="BN177" s="417"/>
      <c r="BO177" s="417"/>
      <c r="BP177" s="417"/>
      <c r="BQ177" s="417"/>
      <c r="BR177" s="417"/>
      <c r="BS177" s="417"/>
      <c r="BT177" s="417"/>
      <c r="BU177" s="417"/>
      <c r="BV177" s="417"/>
      <c r="BW177" s="417"/>
      <c r="BX177" s="417"/>
      <c r="BY177" s="417"/>
      <c r="BZ177" s="417"/>
    </row>
    <row r="178" spans="1:78" s="125" customFormat="1" ht="12.75" hidden="1" customHeight="1" outlineLevel="1" x14ac:dyDescent="0.2">
      <c r="A178" s="535" t="s">
        <v>982</v>
      </c>
      <c r="B178" s="133"/>
      <c r="C178" s="118">
        <v>0</v>
      </c>
      <c r="D178" s="545"/>
      <c r="E178" s="119"/>
      <c r="F178" s="498"/>
      <c r="G178" s="551">
        <f t="shared" si="94"/>
        <v>0</v>
      </c>
      <c r="H178" s="455"/>
      <c r="I178" s="483"/>
      <c r="J178" s="817"/>
      <c r="K178" s="817"/>
      <c r="L178" s="711">
        <f t="shared" si="95"/>
        <v>0</v>
      </c>
      <c r="M178" s="711">
        <f t="shared" si="96"/>
        <v>0</v>
      </c>
      <c r="N178" s="485" t="str">
        <f t="shared" si="97"/>
        <v/>
      </c>
      <c r="O178" s="749"/>
      <c r="P178" s="742"/>
      <c r="Q178" s="743"/>
      <c r="R178" s="741"/>
      <c r="S178" s="737"/>
      <c r="T178" s="743"/>
      <c r="U178" s="741"/>
      <c r="V178" s="779">
        <f t="shared" si="92"/>
        <v>0</v>
      </c>
      <c r="W178" s="562">
        <f t="shared" si="93"/>
        <v>0</v>
      </c>
      <c r="X178" s="749"/>
      <c r="Y178" s="744"/>
      <c r="Z178" s="743"/>
      <c r="AA178" s="741"/>
      <c r="AB178" s="391"/>
      <c r="AC178" s="447"/>
      <c r="AD178" s="132"/>
      <c r="AE178" s="132"/>
      <c r="AF178" s="132"/>
      <c r="AG178" s="551">
        <f t="shared" si="91"/>
        <v>0</v>
      </c>
      <c r="AH178" s="414"/>
      <c r="AI178" s="414"/>
      <c r="AJ178" s="414"/>
      <c r="AK178" s="414"/>
      <c r="AL178" s="414"/>
      <c r="AM178" s="414"/>
      <c r="AN178" s="414"/>
      <c r="AO178" s="414"/>
      <c r="AP178" s="258"/>
      <c r="AQ178" s="258"/>
      <c r="AR178" s="417"/>
      <c r="AS178" s="417"/>
      <c r="AT178" s="417"/>
      <c r="AU178" s="417"/>
      <c r="AV178" s="417"/>
      <c r="AW178" s="417"/>
      <c r="AX178" s="417"/>
      <c r="AY178" s="417"/>
      <c r="AZ178" s="417"/>
      <c r="BA178" s="417"/>
      <c r="BB178" s="417"/>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row>
    <row r="179" spans="1:78" s="125" customFormat="1" ht="12.75" hidden="1" customHeight="1" outlineLevel="1" x14ac:dyDescent="0.2">
      <c r="A179" s="535" t="s">
        <v>983</v>
      </c>
      <c r="B179" s="133"/>
      <c r="C179" s="118">
        <v>0</v>
      </c>
      <c r="D179" s="545"/>
      <c r="E179" s="119"/>
      <c r="F179" s="498"/>
      <c r="G179" s="551">
        <f t="shared" si="94"/>
        <v>0</v>
      </c>
      <c r="H179" s="455"/>
      <c r="I179" s="483"/>
      <c r="J179" s="817"/>
      <c r="K179" s="817"/>
      <c r="L179" s="711">
        <f t="shared" si="95"/>
        <v>0</v>
      </c>
      <c r="M179" s="711">
        <f t="shared" si="96"/>
        <v>0</v>
      </c>
      <c r="N179" s="485" t="str">
        <f t="shared" si="97"/>
        <v/>
      </c>
      <c r="O179" s="749"/>
      <c r="P179" s="742"/>
      <c r="Q179" s="743"/>
      <c r="R179" s="741"/>
      <c r="S179" s="737"/>
      <c r="T179" s="743"/>
      <c r="U179" s="741"/>
      <c r="V179" s="779">
        <f t="shared" si="92"/>
        <v>0</v>
      </c>
      <c r="W179" s="562">
        <f t="shared" si="93"/>
        <v>0</v>
      </c>
      <c r="X179" s="749"/>
      <c r="Y179" s="744"/>
      <c r="Z179" s="743"/>
      <c r="AA179" s="741"/>
      <c r="AB179" s="391"/>
      <c r="AC179" s="447"/>
      <c r="AD179" s="132"/>
      <c r="AE179" s="132"/>
      <c r="AF179" s="132"/>
      <c r="AG179" s="551">
        <f t="shared" si="91"/>
        <v>0</v>
      </c>
      <c r="AH179" s="414"/>
      <c r="AI179" s="414"/>
      <c r="AJ179" s="414"/>
      <c r="AK179" s="414"/>
      <c r="AL179" s="414"/>
      <c r="AM179" s="414"/>
      <c r="AN179" s="414"/>
      <c r="AO179" s="414"/>
      <c r="AP179" s="258"/>
      <c r="AQ179" s="258"/>
      <c r="AR179" s="417"/>
      <c r="AS179" s="417"/>
      <c r="AT179" s="417"/>
      <c r="AU179" s="417"/>
      <c r="AV179" s="417"/>
      <c r="AW179" s="417"/>
      <c r="AX179" s="417"/>
      <c r="AY179" s="417"/>
      <c r="AZ179" s="417"/>
      <c r="BA179" s="417"/>
      <c r="BB179" s="417"/>
      <c r="BC179" s="417"/>
      <c r="BD179" s="417"/>
      <c r="BE179" s="417"/>
      <c r="BF179" s="417"/>
      <c r="BG179" s="417"/>
      <c r="BH179" s="417"/>
      <c r="BI179" s="417"/>
      <c r="BJ179" s="417"/>
      <c r="BK179" s="417"/>
      <c r="BL179" s="417"/>
      <c r="BM179" s="417"/>
      <c r="BN179" s="417"/>
      <c r="BO179" s="417"/>
      <c r="BP179" s="417"/>
      <c r="BQ179" s="417"/>
      <c r="BR179" s="417"/>
      <c r="BS179" s="417"/>
      <c r="BT179" s="417"/>
      <c r="BU179" s="417"/>
      <c r="BV179" s="417"/>
      <c r="BW179" s="417"/>
      <c r="BX179" s="417"/>
      <c r="BY179" s="417"/>
      <c r="BZ179" s="417"/>
    </row>
    <row r="180" spans="1:78" s="125" customFormat="1" ht="12.75" hidden="1" customHeight="1" outlineLevel="1" x14ac:dyDescent="0.2">
      <c r="A180" s="535" t="s">
        <v>984</v>
      </c>
      <c r="B180" s="133"/>
      <c r="C180" s="118">
        <v>0</v>
      </c>
      <c r="D180" s="545"/>
      <c r="E180" s="119"/>
      <c r="F180" s="498"/>
      <c r="G180" s="551">
        <f t="shared" si="94"/>
        <v>0</v>
      </c>
      <c r="H180" s="455"/>
      <c r="I180" s="483"/>
      <c r="J180" s="817"/>
      <c r="K180" s="817"/>
      <c r="L180" s="711">
        <f t="shared" si="95"/>
        <v>0</v>
      </c>
      <c r="M180" s="711">
        <f t="shared" si="96"/>
        <v>0</v>
      </c>
      <c r="N180" s="485" t="str">
        <f t="shared" si="97"/>
        <v/>
      </c>
      <c r="O180" s="749"/>
      <c r="P180" s="742"/>
      <c r="Q180" s="743"/>
      <c r="R180" s="741"/>
      <c r="S180" s="737"/>
      <c r="T180" s="743"/>
      <c r="U180" s="741"/>
      <c r="V180" s="779">
        <f t="shared" si="92"/>
        <v>0</v>
      </c>
      <c r="W180" s="562">
        <f t="shared" si="93"/>
        <v>0</v>
      </c>
      <c r="X180" s="749"/>
      <c r="Y180" s="744"/>
      <c r="Z180" s="743"/>
      <c r="AA180" s="741"/>
      <c r="AB180" s="391"/>
      <c r="AC180" s="447"/>
      <c r="AD180" s="132"/>
      <c r="AE180" s="132"/>
      <c r="AF180" s="132"/>
      <c r="AG180" s="551">
        <f t="shared" si="91"/>
        <v>0</v>
      </c>
      <c r="AH180" s="414"/>
      <c r="AI180" s="414"/>
      <c r="AJ180" s="414"/>
      <c r="AK180" s="414"/>
      <c r="AL180" s="414"/>
      <c r="AM180" s="414"/>
      <c r="AN180" s="414"/>
      <c r="AO180" s="414"/>
      <c r="AP180" s="258"/>
      <c r="AQ180" s="258"/>
      <c r="AR180" s="417"/>
      <c r="AS180" s="417"/>
      <c r="AT180" s="417"/>
      <c r="AU180" s="417"/>
      <c r="AV180" s="417"/>
      <c r="AW180" s="417"/>
      <c r="AX180" s="417"/>
      <c r="AY180" s="417"/>
      <c r="AZ180" s="417"/>
      <c r="BA180" s="417"/>
      <c r="BB180" s="417"/>
      <c r="BC180" s="417"/>
      <c r="BD180" s="417"/>
      <c r="BE180" s="417"/>
      <c r="BF180" s="417"/>
      <c r="BG180" s="417"/>
      <c r="BH180" s="417"/>
      <c r="BI180" s="417"/>
      <c r="BJ180" s="417"/>
      <c r="BK180" s="417"/>
      <c r="BL180" s="417"/>
      <c r="BM180" s="417"/>
      <c r="BN180" s="417"/>
      <c r="BO180" s="417"/>
      <c r="BP180" s="417"/>
      <c r="BQ180" s="417"/>
      <c r="BR180" s="417"/>
      <c r="BS180" s="417"/>
      <c r="BT180" s="417"/>
      <c r="BU180" s="417"/>
      <c r="BV180" s="417"/>
      <c r="BW180" s="417"/>
      <c r="BX180" s="417"/>
      <c r="BY180" s="417"/>
      <c r="BZ180" s="417"/>
    </row>
    <row r="181" spans="1:78" s="125" customFormat="1" ht="12.75" hidden="1" customHeight="1" outlineLevel="1" x14ac:dyDescent="0.2">
      <c r="A181" s="535" t="s">
        <v>985</v>
      </c>
      <c r="B181" s="133"/>
      <c r="C181" s="118">
        <v>0</v>
      </c>
      <c r="D181" s="545"/>
      <c r="E181" s="119"/>
      <c r="F181" s="498"/>
      <c r="G181" s="551">
        <f t="shared" si="94"/>
        <v>0</v>
      </c>
      <c r="H181" s="455"/>
      <c r="I181" s="483"/>
      <c r="J181" s="817"/>
      <c r="K181" s="817"/>
      <c r="L181" s="711">
        <f t="shared" si="95"/>
        <v>0</v>
      </c>
      <c r="M181" s="711">
        <f t="shared" si="96"/>
        <v>0</v>
      </c>
      <c r="N181" s="485" t="str">
        <f t="shared" si="97"/>
        <v/>
      </c>
      <c r="O181" s="749"/>
      <c r="P181" s="742"/>
      <c r="Q181" s="743"/>
      <c r="R181" s="741"/>
      <c r="S181" s="737"/>
      <c r="T181" s="743"/>
      <c r="U181" s="741"/>
      <c r="V181" s="779">
        <f t="shared" si="92"/>
        <v>0</v>
      </c>
      <c r="W181" s="562">
        <f t="shared" si="93"/>
        <v>0</v>
      </c>
      <c r="X181" s="749"/>
      <c r="Y181" s="744"/>
      <c r="Z181" s="743"/>
      <c r="AA181" s="741"/>
      <c r="AB181" s="391"/>
      <c r="AC181" s="447"/>
      <c r="AD181" s="132"/>
      <c r="AE181" s="132"/>
      <c r="AF181" s="132"/>
      <c r="AG181" s="551">
        <f t="shared" si="91"/>
        <v>0</v>
      </c>
      <c r="AH181" s="414"/>
      <c r="AI181" s="414"/>
      <c r="AJ181" s="414"/>
      <c r="AK181" s="414"/>
      <c r="AL181" s="414"/>
      <c r="AM181" s="414"/>
      <c r="AN181" s="414"/>
      <c r="AO181" s="414"/>
      <c r="AP181" s="258"/>
      <c r="AQ181" s="258"/>
      <c r="AR181" s="417"/>
      <c r="AS181" s="417"/>
      <c r="AT181" s="417"/>
      <c r="AU181" s="417"/>
      <c r="AV181" s="417"/>
      <c r="AW181" s="417"/>
      <c r="AX181" s="417"/>
      <c r="AY181" s="417"/>
      <c r="AZ181" s="417"/>
      <c r="BA181" s="417"/>
      <c r="BB181" s="417"/>
      <c r="BC181" s="417"/>
      <c r="BD181" s="417"/>
      <c r="BE181" s="417"/>
      <c r="BF181" s="417"/>
      <c r="BG181" s="417"/>
      <c r="BH181" s="417"/>
      <c r="BI181" s="417"/>
      <c r="BJ181" s="417"/>
      <c r="BK181" s="417"/>
      <c r="BL181" s="417"/>
      <c r="BM181" s="417"/>
      <c r="BN181" s="417"/>
      <c r="BO181" s="417"/>
      <c r="BP181" s="417"/>
      <c r="BQ181" s="417"/>
      <c r="BR181" s="417"/>
      <c r="BS181" s="417"/>
      <c r="BT181" s="417"/>
      <c r="BU181" s="417"/>
      <c r="BV181" s="417"/>
      <c r="BW181" s="417"/>
      <c r="BX181" s="417"/>
      <c r="BY181" s="417"/>
      <c r="BZ181" s="417"/>
    </row>
    <row r="182" spans="1:78" s="125" customFormat="1" ht="12.75" hidden="1" customHeight="1" outlineLevel="1" x14ac:dyDescent="0.2">
      <c r="A182" s="535" t="s">
        <v>986</v>
      </c>
      <c r="B182" s="133"/>
      <c r="C182" s="118">
        <v>0</v>
      </c>
      <c r="D182" s="545"/>
      <c r="E182" s="119"/>
      <c r="F182" s="498"/>
      <c r="G182" s="551">
        <f t="shared" si="94"/>
        <v>0</v>
      </c>
      <c r="H182" s="455"/>
      <c r="I182" s="483"/>
      <c r="J182" s="817"/>
      <c r="K182" s="817"/>
      <c r="L182" s="711">
        <f t="shared" si="95"/>
        <v>0</v>
      </c>
      <c r="M182" s="711">
        <f t="shared" si="96"/>
        <v>0</v>
      </c>
      <c r="N182" s="485" t="str">
        <f t="shared" si="97"/>
        <v/>
      </c>
      <c r="O182" s="749"/>
      <c r="P182" s="742"/>
      <c r="Q182" s="743"/>
      <c r="R182" s="741"/>
      <c r="S182" s="737"/>
      <c r="T182" s="743"/>
      <c r="U182" s="741"/>
      <c r="V182" s="779">
        <f t="shared" si="92"/>
        <v>0</v>
      </c>
      <c r="W182" s="562">
        <f t="shared" si="93"/>
        <v>0</v>
      </c>
      <c r="X182" s="749"/>
      <c r="Y182" s="744"/>
      <c r="Z182" s="743"/>
      <c r="AA182" s="741"/>
      <c r="AB182" s="391"/>
      <c r="AC182" s="447"/>
      <c r="AD182" s="132"/>
      <c r="AE182" s="132"/>
      <c r="AF182" s="132"/>
      <c r="AG182" s="551">
        <f t="shared" si="91"/>
        <v>0</v>
      </c>
      <c r="AH182" s="414"/>
      <c r="AI182" s="414"/>
      <c r="AJ182" s="414"/>
      <c r="AK182" s="414"/>
      <c r="AL182" s="414"/>
      <c r="AM182" s="414"/>
      <c r="AN182" s="414"/>
      <c r="AO182" s="414"/>
      <c r="AP182" s="258"/>
      <c r="AQ182" s="258"/>
      <c r="AR182" s="417"/>
      <c r="AS182" s="417"/>
      <c r="AT182" s="417"/>
      <c r="AU182" s="417"/>
      <c r="AV182" s="417"/>
      <c r="AW182" s="417"/>
      <c r="AX182" s="417"/>
      <c r="AY182" s="417"/>
      <c r="AZ182" s="417"/>
      <c r="BA182" s="417"/>
      <c r="BB182" s="417"/>
      <c r="BC182" s="417"/>
      <c r="BD182" s="417"/>
      <c r="BE182" s="417"/>
      <c r="BF182" s="417"/>
      <c r="BG182" s="417"/>
      <c r="BH182" s="417"/>
      <c r="BI182" s="417"/>
      <c r="BJ182" s="417"/>
      <c r="BK182" s="417"/>
      <c r="BL182" s="417"/>
      <c r="BM182" s="417"/>
      <c r="BN182" s="417"/>
      <c r="BO182" s="417"/>
      <c r="BP182" s="417"/>
      <c r="BQ182" s="417"/>
      <c r="BR182" s="417"/>
      <c r="BS182" s="417"/>
      <c r="BT182" s="417"/>
      <c r="BU182" s="417"/>
      <c r="BV182" s="417"/>
      <c r="BW182" s="417"/>
      <c r="BX182" s="417"/>
      <c r="BY182" s="417"/>
      <c r="BZ182" s="417"/>
    </row>
    <row r="183" spans="1:78" s="125" customFormat="1" ht="12.75" hidden="1" customHeight="1" outlineLevel="1" x14ac:dyDescent="0.2">
      <c r="A183" s="535" t="s">
        <v>987</v>
      </c>
      <c r="B183" s="133"/>
      <c r="C183" s="118">
        <v>0</v>
      </c>
      <c r="D183" s="545"/>
      <c r="E183" s="119"/>
      <c r="F183" s="498"/>
      <c r="G183" s="551">
        <f t="shared" si="94"/>
        <v>0</v>
      </c>
      <c r="H183" s="455"/>
      <c r="I183" s="483"/>
      <c r="J183" s="817"/>
      <c r="K183" s="817"/>
      <c r="L183" s="711">
        <f t="shared" si="95"/>
        <v>0</v>
      </c>
      <c r="M183" s="711">
        <f t="shared" si="96"/>
        <v>0</v>
      </c>
      <c r="N183" s="485" t="str">
        <f t="shared" si="97"/>
        <v/>
      </c>
      <c r="O183" s="749"/>
      <c r="P183" s="742"/>
      <c r="Q183" s="743"/>
      <c r="R183" s="741"/>
      <c r="S183" s="737"/>
      <c r="T183" s="743"/>
      <c r="U183" s="741"/>
      <c r="V183" s="779">
        <f t="shared" si="92"/>
        <v>0</v>
      </c>
      <c r="W183" s="562">
        <f t="shared" si="93"/>
        <v>0</v>
      </c>
      <c r="X183" s="749"/>
      <c r="Y183" s="744"/>
      <c r="Z183" s="743"/>
      <c r="AA183" s="741"/>
      <c r="AB183" s="391"/>
      <c r="AC183" s="447"/>
      <c r="AD183" s="132"/>
      <c r="AE183" s="132"/>
      <c r="AF183" s="132"/>
      <c r="AG183" s="551">
        <f t="shared" si="91"/>
        <v>0</v>
      </c>
      <c r="AH183" s="414"/>
      <c r="AI183" s="414"/>
      <c r="AJ183" s="414"/>
      <c r="AK183" s="414"/>
      <c r="AL183" s="414"/>
      <c r="AM183" s="414"/>
      <c r="AN183" s="414"/>
      <c r="AO183" s="414"/>
      <c r="AP183" s="258"/>
      <c r="AQ183" s="258"/>
      <c r="AR183" s="417"/>
      <c r="AS183" s="417"/>
      <c r="AT183" s="417"/>
      <c r="AU183" s="417"/>
      <c r="AV183" s="417"/>
      <c r="AW183" s="417"/>
      <c r="AX183" s="417"/>
      <c r="AY183" s="417"/>
      <c r="AZ183" s="417"/>
      <c r="BA183" s="417"/>
      <c r="BB183" s="417"/>
      <c r="BC183" s="417"/>
      <c r="BD183" s="417"/>
      <c r="BE183" s="417"/>
      <c r="BF183" s="417"/>
      <c r="BG183" s="417"/>
      <c r="BH183" s="417"/>
      <c r="BI183" s="417"/>
      <c r="BJ183" s="417"/>
      <c r="BK183" s="417"/>
      <c r="BL183" s="417"/>
      <c r="BM183" s="417"/>
      <c r="BN183" s="417"/>
      <c r="BO183" s="417"/>
      <c r="BP183" s="417"/>
      <c r="BQ183" s="417"/>
      <c r="BR183" s="417"/>
      <c r="BS183" s="417"/>
      <c r="BT183" s="417"/>
      <c r="BU183" s="417"/>
      <c r="BV183" s="417"/>
      <c r="BW183" s="417"/>
      <c r="BX183" s="417"/>
      <c r="BY183" s="417"/>
      <c r="BZ183" s="417"/>
    </row>
    <row r="184" spans="1:78" s="125" customFormat="1" ht="12.75" hidden="1" customHeight="1" outlineLevel="1" x14ac:dyDescent="0.2">
      <c r="A184" s="535" t="s">
        <v>988</v>
      </c>
      <c r="B184" s="133"/>
      <c r="C184" s="118">
        <v>0</v>
      </c>
      <c r="D184" s="545"/>
      <c r="E184" s="119"/>
      <c r="F184" s="498"/>
      <c r="G184" s="551">
        <f t="shared" si="94"/>
        <v>0</v>
      </c>
      <c r="H184" s="455"/>
      <c r="I184" s="483"/>
      <c r="J184" s="817"/>
      <c r="K184" s="817"/>
      <c r="L184" s="711">
        <f t="shared" si="95"/>
        <v>0</v>
      </c>
      <c r="M184" s="711">
        <f t="shared" si="96"/>
        <v>0</v>
      </c>
      <c r="N184" s="485" t="str">
        <f t="shared" si="97"/>
        <v/>
      </c>
      <c r="O184" s="749"/>
      <c r="P184" s="742"/>
      <c r="Q184" s="743"/>
      <c r="R184" s="741"/>
      <c r="S184" s="737"/>
      <c r="T184" s="743"/>
      <c r="U184" s="741"/>
      <c r="V184" s="779">
        <f t="shared" si="92"/>
        <v>0</v>
      </c>
      <c r="W184" s="562">
        <f t="shared" si="93"/>
        <v>0</v>
      </c>
      <c r="X184" s="749"/>
      <c r="Y184" s="744"/>
      <c r="Z184" s="743"/>
      <c r="AA184" s="741"/>
      <c r="AB184" s="391"/>
      <c r="AC184" s="447"/>
      <c r="AD184" s="132"/>
      <c r="AE184" s="132"/>
      <c r="AF184" s="132"/>
      <c r="AG184" s="551">
        <f t="shared" si="91"/>
        <v>0</v>
      </c>
      <c r="AH184" s="414"/>
      <c r="AI184" s="414"/>
      <c r="AJ184" s="414"/>
      <c r="AK184" s="414"/>
      <c r="AL184" s="414"/>
      <c r="AM184" s="414"/>
      <c r="AN184" s="414"/>
      <c r="AO184" s="414"/>
      <c r="AP184" s="258"/>
      <c r="AQ184" s="258"/>
      <c r="AR184" s="417"/>
      <c r="AS184" s="417"/>
      <c r="AT184" s="417"/>
      <c r="AU184" s="417"/>
      <c r="AV184" s="417"/>
      <c r="AW184" s="417"/>
      <c r="AX184" s="417"/>
      <c r="AY184" s="417"/>
      <c r="AZ184" s="417"/>
      <c r="BA184" s="417"/>
      <c r="BB184" s="417"/>
      <c r="BC184" s="417"/>
      <c r="BD184" s="417"/>
      <c r="BE184" s="417"/>
      <c r="BF184" s="417"/>
      <c r="BG184" s="417"/>
      <c r="BH184" s="417"/>
      <c r="BI184" s="417"/>
      <c r="BJ184" s="417"/>
      <c r="BK184" s="417"/>
      <c r="BL184" s="417"/>
      <c r="BM184" s="417"/>
      <c r="BN184" s="417"/>
      <c r="BO184" s="417"/>
      <c r="BP184" s="417"/>
      <c r="BQ184" s="417"/>
      <c r="BR184" s="417"/>
      <c r="BS184" s="417"/>
      <c r="BT184" s="417"/>
      <c r="BU184" s="417"/>
      <c r="BV184" s="417"/>
      <c r="BW184" s="417"/>
      <c r="BX184" s="417"/>
      <c r="BY184" s="417"/>
      <c r="BZ184" s="417"/>
    </row>
    <row r="185" spans="1:78" s="125" customFormat="1" ht="12.75" hidden="1" customHeight="1" outlineLevel="1" x14ac:dyDescent="0.2">
      <c r="A185" s="535" t="s">
        <v>989</v>
      </c>
      <c r="B185" s="133"/>
      <c r="C185" s="118">
        <v>0</v>
      </c>
      <c r="D185" s="545"/>
      <c r="E185" s="119"/>
      <c r="F185" s="498"/>
      <c r="G185" s="551">
        <f t="shared" si="94"/>
        <v>0</v>
      </c>
      <c r="H185" s="455"/>
      <c r="I185" s="483"/>
      <c r="J185" s="817"/>
      <c r="K185" s="817"/>
      <c r="L185" s="711">
        <f t="shared" si="95"/>
        <v>0</v>
      </c>
      <c r="M185" s="711">
        <f t="shared" si="96"/>
        <v>0</v>
      </c>
      <c r="N185" s="485" t="str">
        <f t="shared" si="97"/>
        <v/>
      </c>
      <c r="O185" s="749"/>
      <c r="P185" s="742"/>
      <c r="Q185" s="743"/>
      <c r="R185" s="741"/>
      <c r="S185" s="737"/>
      <c r="T185" s="743"/>
      <c r="U185" s="741"/>
      <c r="V185" s="779">
        <f t="shared" si="92"/>
        <v>0</v>
      </c>
      <c r="W185" s="562">
        <f t="shared" si="93"/>
        <v>0</v>
      </c>
      <c r="X185" s="749"/>
      <c r="Y185" s="744"/>
      <c r="Z185" s="743"/>
      <c r="AA185" s="741"/>
      <c r="AB185" s="391"/>
      <c r="AC185" s="447"/>
      <c r="AD185" s="132"/>
      <c r="AE185" s="132"/>
      <c r="AF185" s="132"/>
      <c r="AG185" s="551">
        <f t="shared" si="91"/>
        <v>0</v>
      </c>
      <c r="AH185" s="414"/>
      <c r="AI185" s="414"/>
      <c r="AJ185" s="414"/>
      <c r="AK185" s="414"/>
      <c r="AL185" s="414"/>
      <c r="AM185" s="414"/>
      <c r="AN185" s="414"/>
      <c r="AO185" s="414"/>
      <c r="AP185" s="258"/>
      <c r="AQ185" s="258"/>
      <c r="AR185" s="417"/>
      <c r="AS185" s="417"/>
      <c r="AT185" s="417"/>
      <c r="AU185" s="417"/>
      <c r="AV185" s="417"/>
      <c r="AW185" s="417"/>
      <c r="AX185" s="417"/>
      <c r="AY185" s="417"/>
      <c r="AZ185" s="417"/>
      <c r="BA185" s="417"/>
      <c r="BB185" s="417"/>
      <c r="BC185" s="417"/>
      <c r="BD185" s="417"/>
      <c r="BE185" s="417"/>
      <c r="BF185" s="417"/>
      <c r="BG185" s="417"/>
      <c r="BH185" s="417"/>
      <c r="BI185" s="417"/>
      <c r="BJ185" s="417"/>
      <c r="BK185" s="417"/>
      <c r="BL185" s="417"/>
      <c r="BM185" s="417"/>
      <c r="BN185" s="417"/>
      <c r="BO185" s="417"/>
      <c r="BP185" s="417"/>
      <c r="BQ185" s="417"/>
      <c r="BR185" s="417"/>
      <c r="BS185" s="417"/>
      <c r="BT185" s="417"/>
      <c r="BU185" s="417"/>
      <c r="BV185" s="417"/>
      <c r="BW185" s="417"/>
      <c r="BX185" s="417"/>
      <c r="BY185" s="417"/>
      <c r="BZ185" s="417"/>
    </row>
    <row r="186" spans="1:78" s="125" customFormat="1" ht="12.75" hidden="1" customHeight="1" outlineLevel="1" x14ac:dyDescent="0.2">
      <c r="A186" s="535" t="s">
        <v>990</v>
      </c>
      <c r="B186" s="133"/>
      <c r="C186" s="118">
        <v>0</v>
      </c>
      <c r="D186" s="545"/>
      <c r="E186" s="119"/>
      <c r="F186" s="498"/>
      <c r="G186" s="551">
        <f t="shared" si="94"/>
        <v>0</v>
      </c>
      <c r="H186" s="455"/>
      <c r="I186" s="483"/>
      <c r="J186" s="817"/>
      <c r="K186" s="817"/>
      <c r="L186" s="711">
        <f t="shared" si="95"/>
        <v>0</v>
      </c>
      <c r="M186" s="711">
        <f t="shared" si="96"/>
        <v>0</v>
      </c>
      <c r="N186" s="485" t="str">
        <f t="shared" si="97"/>
        <v/>
      </c>
      <c r="O186" s="749"/>
      <c r="P186" s="742"/>
      <c r="Q186" s="743"/>
      <c r="R186" s="741"/>
      <c r="S186" s="737"/>
      <c r="T186" s="743"/>
      <c r="U186" s="741"/>
      <c r="V186" s="779">
        <f t="shared" si="92"/>
        <v>0</v>
      </c>
      <c r="W186" s="562">
        <f t="shared" si="93"/>
        <v>0</v>
      </c>
      <c r="X186" s="749"/>
      <c r="Y186" s="744"/>
      <c r="Z186" s="743"/>
      <c r="AA186" s="741"/>
      <c r="AB186" s="391"/>
      <c r="AC186" s="447"/>
      <c r="AD186" s="132"/>
      <c r="AE186" s="132"/>
      <c r="AF186" s="132"/>
      <c r="AG186" s="551">
        <f t="shared" si="91"/>
        <v>0</v>
      </c>
      <c r="AH186" s="414"/>
      <c r="AI186" s="414"/>
      <c r="AJ186" s="414"/>
      <c r="AK186" s="414"/>
      <c r="AL186" s="414"/>
      <c r="AM186" s="414"/>
      <c r="AN186" s="414"/>
      <c r="AO186" s="414"/>
      <c r="AP186" s="258"/>
      <c r="AQ186" s="258"/>
      <c r="AR186" s="417"/>
      <c r="AS186" s="417"/>
      <c r="AT186" s="417"/>
      <c r="AU186" s="417"/>
      <c r="AV186" s="417"/>
      <c r="AW186" s="417"/>
      <c r="AX186" s="417"/>
      <c r="AY186" s="417"/>
      <c r="AZ186" s="417"/>
      <c r="BA186" s="417"/>
      <c r="BB186" s="417"/>
      <c r="BC186" s="417"/>
      <c r="BD186" s="417"/>
      <c r="BE186" s="417"/>
      <c r="BF186" s="417"/>
      <c r="BG186" s="417"/>
      <c r="BH186" s="417"/>
      <c r="BI186" s="417"/>
      <c r="BJ186" s="417"/>
      <c r="BK186" s="417"/>
      <c r="BL186" s="417"/>
      <c r="BM186" s="417"/>
      <c r="BN186" s="417"/>
      <c r="BO186" s="417"/>
      <c r="BP186" s="417"/>
      <c r="BQ186" s="417"/>
      <c r="BR186" s="417"/>
      <c r="BS186" s="417"/>
      <c r="BT186" s="417"/>
      <c r="BU186" s="417"/>
      <c r="BV186" s="417"/>
      <c r="BW186" s="417"/>
      <c r="BX186" s="417"/>
      <c r="BY186" s="417"/>
      <c r="BZ186" s="417"/>
    </row>
    <row r="187" spans="1:78" s="125" customFormat="1" ht="12.75" hidden="1" customHeight="1" outlineLevel="1" x14ac:dyDescent="0.2">
      <c r="A187" s="535" t="s">
        <v>991</v>
      </c>
      <c r="B187" s="133"/>
      <c r="C187" s="118">
        <v>0</v>
      </c>
      <c r="D187" s="545"/>
      <c r="E187" s="119"/>
      <c r="F187" s="498"/>
      <c r="G187" s="551">
        <f t="shared" si="94"/>
        <v>0</v>
      </c>
      <c r="H187" s="455"/>
      <c r="I187" s="483"/>
      <c r="J187" s="817"/>
      <c r="K187" s="817"/>
      <c r="L187" s="711">
        <f t="shared" si="95"/>
        <v>0</v>
      </c>
      <c r="M187" s="711">
        <f t="shared" si="96"/>
        <v>0</v>
      </c>
      <c r="N187" s="485" t="str">
        <f t="shared" si="97"/>
        <v/>
      </c>
      <c r="O187" s="749"/>
      <c r="P187" s="742"/>
      <c r="Q187" s="743"/>
      <c r="R187" s="741"/>
      <c r="S187" s="737"/>
      <c r="T187" s="743"/>
      <c r="U187" s="741"/>
      <c r="V187" s="779">
        <f t="shared" si="92"/>
        <v>0</v>
      </c>
      <c r="W187" s="562">
        <f t="shared" si="93"/>
        <v>0</v>
      </c>
      <c r="X187" s="749"/>
      <c r="Y187" s="744"/>
      <c r="Z187" s="743"/>
      <c r="AA187" s="741"/>
      <c r="AB187" s="391"/>
      <c r="AC187" s="447"/>
      <c r="AD187" s="132"/>
      <c r="AE187" s="132"/>
      <c r="AF187" s="132"/>
      <c r="AG187" s="551">
        <f t="shared" si="91"/>
        <v>0</v>
      </c>
      <c r="AH187" s="414"/>
      <c r="AI187" s="414"/>
      <c r="AJ187" s="414"/>
      <c r="AK187" s="414"/>
      <c r="AL187" s="414"/>
      <c r="AM187" s="414"/>
      <c r="AN187" s="414"/>
      <c r="AO187" s="414"/>
      <c r="AP187" s="258"/>
      <c r="AQ187" s="258"/>
      <c r="AR187" s="417"/>
      <c r="AS187" s="417"/>
      <c r="AT187" s="417"/>
      <c r="AU187" s="417"/>
      <c r="AV187" s="417"/>
      <c r="AW187" s="417"/>
      <c r="AX187" s="417"/>
      <c r="AY187" s="417"/>
      <c r="AZ187" s="417"/>
      <c r="BA187" s="417"/>
      <c r="BB187" s="417"/>
      <c r="BC187" s="417"/>
      <c r="BD187" s="417"/>
      <c r="BE187" s="417"/>
      <c r="BF187" s="417"/>
      <c r="BG187" s="417"/>
      <c r="BH187" s="417"/>
      <c r="BI187" s="417"/>
      <c r="BJ187" s="417"/>
      <c r="BK187" s="417"/>
      <c r="BL187" s="417"/>
      <c r="BM187" s="417"/>
      <c r="BN187" s="417"/>
      <c r="BO187" s="417"/>
      <c r="BP187" s="417"/>
      <c r="BQ187" s="417"/>
      <c r="BR187" s="417"/>
      <c r="BS187" s="417"/>
      <c r="BT187" s="417"/>
      <c r="BU187" s="417"/>
      <c r="BV187" s="417"/>
      <c r="BW187" s="417"/>
      <c r="BX187" s="417"/>
      <c r="BY187" s="417"/>
      <c r="BZ187" s="417"/>
    </row>
    <row r="188" spans="1:78" s="125" customFormat="1" ht="12.75" hidden="1" customHeight="1" outlineLevel="1" x14ac:dyDescent="0.2">
      <c r="A188" s="535" t="s">
        <v>992</v>
      </c>
      <c r="B188" s="133"/>
      <c r="C188" s="118">
        <v>0</v>
      </c>
      <c r="D188" s="545"/>
      <c r="E188" s="119"/>
      <c r="F188" s="498"/>
      <c r="G188" s="551">
        <f t="shared" si="94"/>
        <v>0</v>
      </c>
      <c r="H188" s="455"/>
      <c r="I188" s="483"/>
      <c r="J188" s="817"/>
      <c r="K188" s="817"/>
      <c r="L188" s="711">
        <f t="shared" si="95"/>
        <v>0</v>
      </c>
      <c r="M188" s="711">
        <f t="shared" si="96"/>
        <v>0</v>
      </c>
      <c r="N188" s="485" t="str">
        <f t="shared" si="97"/>
        <v/>
      </c>
      <c r="O188" s="749"/>
      <c r="P188" s="742"/>
      <c r="Q188" s="743"/>
      <c r="R188" s="741"/>
      <c r="S188" s="737"/>
      <c r="T188" s="743"/>
      <c r="U188" s="741"/>
      <c r="V188" s="779">
        <f t="shared" si="92"/>
        <v>0</v>
      </c>
      <c r="W188" s="562">
        <f t="shared" si="93"/>
        <v>0</v>
      </c>
      <c r="X188" s="749"/>
      <c r="Y188" s="744"/>
      <c r="Z188" s="743"/>
      <c r="AA188" s="741"/>
      <c r="AB188" s="391"/>
      <c r="AC188" s="447"/>
      <c r="AD188" s="132"/>
      <c r="AE188" s="132"/>
      <c r="AF188" s="132"/>
      <c r="AG188" s="551">
        <f t="shared" si="91"/>
        <v>0</v>
      </c>
      <c r="AH188" s="414"/>
      <c r="AI188" s="414"/>
      <c r="AJ188" s="414"/>
      <c r="AK188" s="414"/>
      <c r="AL188" s="414"/>
      <c r="AM188" s="414"/>
      <c r="AN188" s="414"/>
      <c r="AO188" s="414"/>
      <c r="AP188" s="258"/>
      <c r="AQ188" s="258"/>
      <c r="AR188" s="417"/>
      <c r="AS188" s="417"/>
      <c r="AT188" s="417"/>
      <c r="AU188" s="417"/>
      <c r="AV188" s="417"/>
      <c r="AW188" s="417"/>
      <c r="AX188" s="417"/>
      <c r="AY188" s="417"/>
      <c r="AZ188" s="417"/>
      <c r="BA188" s="417"/>
      <c r="BB188" s="417"/>
      <c r="BC188" s="417"/>
      <c r="BD188" s="417"/>
      <c r="BE188" s="417"/>
      <c r="BF188" s="417"/>
      <c r="BG188" s="417"/>
      <c r="BH188" s="417"/>
      <c r="BI188" s="417"/>
      <c r="BJ188" s="417"/>
      <c r="BK188" s="417"/>
      <c r="BL188" s="417"/>
      <c r="BM188" s="417"/>
      <c r="BN188" s="417"/>
      <c r="BO188" s="417"/>
      <c r="BP188" s="417"/>
      <c r="BQ188" s="417"/>
      <c r="BR188" s="417"/>
      <c r="BS188" s="417"/>
      <c r="BT188" s="417"/>
      <c r="BU188" s="417"/>
      <c r="BV188" s="417"/>
      <c r="BW188" s="417"/>
      <c r="BX188" s="417"/>
      <c r="BY188" s="417"/>
      <c r="BZ188" s="417"/>
    </row>
    <row r="189" spans="1:78" s="125" customFormat="1" ht="12.75" hidden="1" customHeight="1" outlineLevel="1" x14ac:dyDescent="0.2">
      <c r="A189" s="535" t="s">
        <v>993</v>
      </c>
      <c r="B189" s="133"/>
      <c r="C189" s="118">
        <v>0</v>
      </c>
      <c r="D189" s="545"/>
      <c r="E189" s="119"/>
      <c r="F189" s="498"/>
      <c r="G189" s="551">
        <f t="shared" si="94"/>
        <v>0</v>
      </c>
      <c r="H189" s="455"/>
      <c r="I189" s="483"/>
      <c r="J189" s="817"/>
      <c r="K189" s="817"/>
      <c r="L189" s="711">
        <f t="shared" si="95"/>
        <v>0</v>
      </c>
      <c r="M189" s="711">
        <f t="shared" si="96"/>
        <v>0</v>
      </c>
      <c r="N189" s="485" t="str">
        <f t="shared" si="97"/>
        <v/>
      </c>
      <c r="O189" s="749"/>
      <c r="P189" s="742"/>
      <c r="Q189" s="743"/>
      <c r="R189" s="741"/>
      <c r="S189" s="737"/>
      <c r="T189" s="743"/>
      <c r="U189" s="741"/>
      <c r="V189" s="779">
        <f t="shared" si="92"/>
        <v>0</v>
      </c>
      <c r="W189" s="562">
        <f t="shared" si="93"/>
        <v>0</v>
      </c>
      <c r="X189" s="749"/>
      <c r="Y189" s="744"/>
      <c r="Z189" s="743"/>
      <c r="AA189" s="741"/>
      <c r="AB189" s="391"/>
      <c r="AC189" s="447"/>
      <c r="AD189" s="132"/>
      <c r="AE189" s="132"/>
      <c r="AF189" s="132"/>
      <c r="AG189" s="551">
        <f t="shared" si="91"/>
        <v>0</v>
      </c>
      <c r="AH189" s="414"/>
      <c r="AI189" s="414"/>
      <c r="AJ189" s="414"/>
      <c r="AK189" s="414"/>
      <c r="AL189" s="414"/>
      <c r="AM189" s="414"/>
      <c r="AN189" s="414"/>
      <c r="AO189" s="414"/>
      <c r="AP189" s="258"/>
      <c r="AQ189" s="258"/>
      <c r="AR189" s="417"/>
      <c r="AS189" s="417"/>
      <c r="AT189" s="417"/>
      <c r="AU189" s="417"/>
      <c r="AV189" s="417"/>
      <c r="AW189" s="417"/>
      <c r="AX189" s="417"/>
      <c r="AY189" s="417"/>
      <c r="AZ189" s="417"/>
      <c r="BA189" s="417"/>
      <c r="BB189" s="417"/>
      <c r="BC189" s="417"/>
      <c r="BD189" s="417"/>
      <c r="BE189" s="417"/>
      <c r="BF189" s="417"/>
      <c r="BG189" s="417"/>
      <c r="BH189" s="417"/>
      <c r="BI189" s="417"/>
      <c r="BJ189" s="417"/>
      <c r="BK189" s="417"/>
      <c r="BL189" s="417"/>
      <c r="BM189" s="417"/>
      <c r="BN189" s="417"/>
      <c r="BO189" s="417"/>
      <c r="BP189" s="417"/>
      <c r="BQ189" s="417"/>
      <c r="BR189" s="417"/>
      <c r="BS189" s="417"/>
      <c r="BT189" s="417"/>
      <c r="BU189" s="417"/>
      <c r="BV189" s="417"/>
      <c r="BW189" s="417"/>
      <c r="BX189" s="417"/>
      <c r="BY189" s="417"/>
      <c r="BZ189" s="417"/>
    </row>
    <row r="190" spans="1:78" s="125" customFormat="1" ht="12.75" hidden="1" customHeight="1" outlineLevel="1" x14ac:dyDescent="0.2">
      <c r="A190" s="535" t="s">
        <v>994</v>
      </c>
      <c r="B190" s="133"/>
      <c r="C190" s="118">
        <v>0</v>
      </c>
      <c r="D190" s="545"/>
      <c r="E190" s="119"/>
      <c r="F190" s="498"/>
      <c r="G190" s="551">
        <f t="shared" si="94"/>
        <v>0</v>
      </c>
      <c r="H190" s="455"/>
      <c r="I190" s="483"/>
      <c r="J190" s="817"/>
      <c r="K190" s="817"/>
      <c r="L190" s="711">
        <f t="shared" si="95"/>
        <v>0</v>
      </c>
      <c r="M190" s="711">
        <f t="shared" si="96"/>
        <v>0</v>
      </c>
      <c r="N190" s="485" t="str">
        <f t="shared" si="97"/>
        <v/>
      </c>
      <c r="O190" s="749"/>
      <c r="P190" s="742"/>
      <c r="Q190" s="743"/>
      <c r="R190" s="741"/>
      <c r="S190" s="737"/>
      <c r="T190" s="743"/>
      <c r="U190" s="741"/>
      <c r="V190" s="779">
        <f t="shared" si="92"/>
        <v>0</v>
      </c>
      <c r="W190" s="562">
        <f t="shared" si="93"/>
        <v>0</v>
      </c>
      <c r="X190" s="749"/>
      <c r="Y190" s="744"/>
      <c r="Z190" s="743"/>
      <c r="AA190" s="741"/>
      <c r="AB190" s="391"/>
      <c r="AC190" s="447"/>
      <c r="AD190" s="132"/>
      <c r="AE190" s="132"/>
      <c r="AF190" s="132"/>
      <c r="AG190" s="551">
        <f t="shared" si="91"/>
        <v>0</v>
      </c>
      <c r="AH190" s="414"/>
      <c r="AI190" s="414"/>
      <c r="AJ190" s="414"/>
      <c r="AK190" s="414"/>
      <c r="AL190" s="414"/>
      <c r="AM190" s="414"/>
      <c r="AN190" s="414"/>
      <c r="AO190" s="414"/>
      <c r="AP190" s="258"/>
      <c r="AQ190" s="258"/>
      <c r="AR190" s="417"/>
      <c r="AS190" s="417"/>
      <c r="AT190" s="417"/>
      <c r="AU190" s="417"/>
      <c r="AV190" s="417"/>
      <c r="AW190" s="417"/>
      <c r="AX190" s="417"/>
      <c r="AY190" s="417"/>
      <c r="AZ190" s="417"/>
      <c r="BA190" s="417"/>
      <c r="BB190" s="417"/>
      <c r="BC190" s="417"/>
      <c r="BD190" s="417"/>
      <c r="BE190" s="417"/>
      <c r="BF190" s="417"/>
      <c r="BG190" s="417"/>
      <c r="BH190" s="417"/>
      <c r="BI190" s="417"/>
      <c r="BJ190" s="417"/>
      <c r="BK190" s="417"/>
      <c r="BL190" s="417"/>
      <c r="BM190" s="417"/>
      <c r="BN190" s="417"/>
      <c r="BO190" s="417"/>
      <c r="BP190" s="417"/>
      <c r="BQ190" s="417"/>
      <c r="BR190" s="417"/>
      <c r="BS190" s="417"/>
      <c r="BT190" s="417"/>
      <c r="BU190" s="417"/>
      <c r="BV190" s="417"/>
      <c r="BW190" s="417"/>
      <c r="BX190" s="417"/>
      <c r="BY190" s="417"/>
      <c r="BZ190" s="417"/>
    </row>
    <row r="191" spans="1:78" s="125" customFormat="1" ht="12.75" hidden="1" customHeight="1" outlineLevel="1" x14ac:dyDescent="0.2">
      <c r="A191" s="535" t="s">
        <v>995</v>
      </c>
      <c r="B191" s="133"/>
      <c r="C191" s="118">
        <v>0</v>
      </c>
      <c r="D191" s="545"/>
      <c r="E191" s="119"/>
      <c r="F191" s="498"/>
      <c r="G191" s="551">
        <f t="shared" si="94"/>
        <v>0</v>
      </c>
      <c r="H191" s="455"/>
      <c r="I191" s="483"/>
      <c r="J191" s="817"/>
      <c r="K191" s="817"/>
      <c r="L191" s="711">
        <f t="shared" si="95"/>
        <v>0</v>
      </c>
      <c r="M191" s="711">
        <f t="shared" si="96"/>
        <v>0</v>
      </c>
      <c r="N191" s="485" t="str">
        <f t="shared" si="97"/>
        <v/>
      </c>
      <c r="O191" s="749"/>
      <c r="P191" s="742"/>
      <c r="Q191" s="743"/>
      <c r="R191" s="741"/>
      <c r="S191" s="737"/>
      <c r="T191" s="743"/>
      <c r="U191" s="741"/>
      <c r="V191" s="779">
        <f t="shared" si="92"/>
        <v>0</v>
      </c>
      <c r="W191" s="562">
        <f t="shared" si="93"/>
        <v>0</v>
      </c>
      <c r="X191" s="749"/>
      <c r="Y191" s="744"/>
      <c r="Z191" s="743"/>
      <c r="AA191" s="741"/>
      <c r="AB191" s="391"/>
      <c r="AC191" s="447"/>
      <c r="AD191" s="132"/>
      <c r="AE191" s="132"/>
      <c r="AF191" s="132"/>
      <c r="AG191" s="551">
        <f t="shared" si="91"/>
        <v>0</v>
      </c>
      <c r="AH191" s="414"/>
      <c r="AI191" s="414"/>
      <c r="AJ191" s="414"/>
      <c r="AK191" s="414"/>
      <c r="AL191" s="414"/>
      <c r="AM191" s="414"/>
      <c r="AN191" s="414"/>
      <c r="AO191" s="414"/>
      <c r="AP191" s="258"/>
      <c r="AQ191" s="258"/>
      <c r="AR191" s="417"/>
      <c r="AS191" s="417"/>
      <c r="AT191" s="417"/>
      <c r="AU191" s="417"/>
      <c r="AV191" s="417"/>
      <c r="AW191" s="417"/>
      <c r="AX191" s="417"/>
      <c r="AY191" s="417"/>
      <c r="AZ191" s="417"/>
      <c r="BA191" s="417"/>
      <c r="BB191" s="417"/>
      <c r="BC191" s="417"/>
      <c r="BD191" s="417"/>
      <c r="BE191" s="417"/>
      <c r="BF191" s="417"/>
      <c r="BG191" s="417"/>
      <c r="BH191" s="417"/>
      <c r="BI191" s="417"/>
      <c r="BJ191" s="417"/>
      <c r="BK191" s="417"/>
      <c r="BL191" s="417"/>
      <c r="BM191" s="417"/>
      <c r="BN191" s="417"/>
      <c r="BO191" s="417"/>
      <c r="BP191" s="417"/>
      <c r="BQ191" s="417"/>
      <c r="BR191" s="417"/>
      <c r="BS191" s="417"/>
      <c r="BT191" s="417"/>
      <c r="BU191" s="417"/>
      <c r="BV191" s="417"/>
      <c r="BW191" s="417"/>
      <c r="BX191" s="417"/>
      <c r="BY191" s="417"/>
      <c r="BZ191" s="417"/>
    </row>
    <row r="192" spans="1:78" s="125" customFormat="1" ht="12.75" hidden="1" customHeight="1" outlineLevel="1" x14ac:dyDescent="0.2">
      <c r="A192" s="535" t="s">
        <v>996</v>
      </c>
      <c r="B192" s="133"/>
      <c r="C192" s="118">
        <v>0</v>
      </c>
      <c r="D192" s="545"/>
      <c r="E192" s="119"/>
      <c r="F192" s="498"/>
      <c r="G192" s="551">
        <f t="shared" si="94"/>
        <v>0</v>
      </c>
      <c r="H192" s="455"/>
      <c r="I192" s="483"/>
      <c r="J192" s="817"/>
      <c r="K192" s="817"/>
      <c r="L192" s="711">
        <f t="shared" si="95"/>
        <v>0</v>
      </c>
      <c r="M192" s="711">
        <f t="shared" si="96"/>
        <v>0</v>
      </c>
      <c r="N192" s="485" t="str">
        <f t="shared" si="97"/>
        <v/>
      </c>
      <c r="O192" s="749"/>
      <c r="P192" s="742"/>
      <c r="Q192" s="743"/>
      <c r="R192" s="741"/>
      <c r="S192" s="737"/>
      <c r="T192" s="743"/>
      <c r="U192" s="741"/>
      <c r="V192" s="779">
        <f t="shared" si="92"/>
        <v>0</v>
      </c>
      <c r="W192" s="562">
        <f t="shared" si="93"/>
        <v>0</v>
      </c>
      <c r="X192" s="749"/>
      <c r="Y192" s="744"/>
      <c r="Z192" s="743"/>
      <c r="AA192" s="741"/>
      <c r="AB192" s="391"/>
      <c r="AC192" s="447"/>
      <c r="AD192" s="132"/>
      <c r="AE192" s="132"/>
      <c r="AF192" s="132"/>
      <c r="AG192" s="551">
        <f t="shared" si="91"/>
        <v>0</v>
      </c>
      <c r="AH192" s="414"/>
      <c r="AI192" s="414"/>
      <c r="AJ192" s="414"/>
      <c r="AK192" s="414"/>
      <c r="AL192" s="414"/>
      <c r="AM192" s="414"/>
      <c r="AN192" s="414"/>
      <c r="AO192" s="414"/>
      <c r="AP192" s="258"/>
      <c r="AQ192" s="258"/>
      <c r="AR192" s="417"/>
      <c r="AS192" s="417"/>
      <c r="AT192" s="417"/>
      <c r="AU192" s="417"/>
      <c r="AV192" s="417"/>
      <c r="AW192" s="417"/>
      <c r="AX192" s="417"/>
      <c r="AY192" s="417"/>
      <c r="AZ192" s="417"/>
      <c r="BA192" s="417"/>
      <c r="BB192" s="417"/>
      <c r="BC192" s="417"/>
      <c r="BD192" s="417"/>
      <c r="BE192" s="417"/>
      <c r="BF192" s="417"/>
      <c r="BG192" s="417"/>
      <c r="BH192" s="417"/>
      <c r="BI192" s="417"/>
      <c r="BJ192" s="417"/>
      <c r="BK192" s="417"/>
      <c r="BL192" s="417"/>
      <c r="BM192" s="417"/>
      <c r="BN192" s="417"/>
      <c r="BO192" s="417"/>
      <c r="BP192" s="417"/>
      <c r="BQ192" s="417"/>
      <c r="BR192" s="417"/>
      <c r="BS192" s="417"/>
      <c r="BT192" s="417"/>
      <c r="BU192" s="417"/>
      <c r="BV192" s="417"/>
      <c r="BW192" s="417"/>
      <c r="BX192" s="417"/>
      <c r="BY192" s="417"/>
      <c r="BZ192" s="417"/>
    </row>
    <row r="193" spans="1:78" s="125" customFormat="1" ht="12.75" hidden="1" customHeight="1" outlineLevel="1" x14ac:dyDescent="0.2">
      <c r="A193" s="535" t="s">
        <v>997</v>
      </c>
      <c r="B193" s="133"/>
      <c r="C193" s="118">
        <v>0</v>
      </c>
      <c r="D193" s="545"/>
      <c r="E193" s="119"/>
      <c r="F193" s="498"/>
      <c r="G193" s="551">
        <f t="shared" si="94"/>
        <v>0</v>
      </c>
      <c r="H193" s="455"/>
      <c r="I193" s="483"/>
      <c r="J193" s="817"/>
      <c r="K193" s="817"/>
      <c r="L193" s="711">
        <f t="shared" si="95"/>
        <v>0</v>
      </c>
      <c r="M193" s="711">
        <f t="shared" si="96"/>
        <v>0</v>
      </c>
      <c r="N193" s="485" t="str">
        <f t="shared" si="97"/>
        <v/>
      </c>
      <c r="O193" s="749"/>
      <c r="P193" s="742"/>
      <c r="Q193" s="743"/>
      <c r="R193" s="741"/>
      <c r="S193" s="737"/>
      <c r="T193" s="743"/>
      <c r="U193" s="741"/>
      <c r="V193" s="779">
        <f t="shared" si="92"/>
        <v>0</v>
      </c>
      <c r="W193" s="562">
        <f t="shared" si="93"/>
        <v>0</v>
      </c>
      <c r="X193" s="749"/>
      <c r="Y193" s="744"/>
      <c r="Z193" s="743"/>
      <c r="AA193" s="741"/>
      <c r="AB193" s="391"/>
      <c r="AC193" s="447"/>
      <c r="AD193" s="132"/>
      <c r="AE193" s="132"/>
      <c r="AF193" s="132"/>
      <c r="AG193" s="551">
        <f t="shared" si="91"/>
        <v>0</v>
      </c>
      <c r="AH193" s="414"/>
      <c r="AI193" s="414"/>
      <c r="AJ193" s="414"/>
      <c r="AK193" s="414"/>
      <c r="AL193" s="414"/>
      <c r="AM193" s="414"/>
      <c r="AN193" s="414"/>
      <c r="AO193" s="414"/>
      <c r="AP193" s="258"/>
      <c r="AQ193" s="258"/>
      <c r="AR193" s="417"/>
      <c r="AS193" s="417"/>
      <c r="AT193" s="417"/>
      <c r="AU193" s="417"/>
      <c r="AV193" s="417"/>
      <c r="AW193" s="417"/>
      <c r="AX193" s="417"/>
      <c r="AY193" s="417"/>
      <c r="AZ193" s="417"/>
      <c r="BA193" s="417"/>
      <c r="BB193" s="417"/>
      <c r="BC193" s="417"/>
      <c r="BD193" s="417"/>
      <c r="BE193" s="417"/>
      <c r="BF193" s="417"/>
      <c r="BG193" s="417"/>
      <c r="BH193" s="417"/>
      <c r="BI193" s="417"/>
      <c r="BJ193" s="417"/>
      <c r="BK193" s="417"/>
      <c r="BL193" s="417"/>
      <c r="BM193" s="417"/>
      <c r="BN193" s="417"/>
      <c r="BO193" s="417"/>
      <c r="BP193" s="417"/>
      <c r="BQ193" s="417"/>
      <c r="BR193" s="417"/>
      <c r="BS193" s="417"/>
      <c r="BT193" s="417"/>
      <c r="BU193" s="417"/>
      <c r="BV193" s="417"/>
      <c r="BW193" s="417"/>
      <c r="BX193" s="417"/>
      <c r="BY193" s="417"/>
      <c r="BZ193" s="417"/>
    </row>
    <row r="194" spans="1:78" s="125" customFormat="1" ht="12.75" hidden="1" customHeight="1" outlineLevel="1" x14ac:dyDescent="0.2">
      <c r="A194" s="535" t="s">
        <v>998</v>
      </c>
      <c r="B194" s="133"/>
      <c r="C194" s="118">
        <v>0</v>
      </c>
      <c r="D194" s="545"/>
      <c r="E194" s="119"/>
      <c r="F194" s="498"/>
      <c r="G194" s="551">
        <f t="shared" si="94"/>
        <v>0</v>
      </c>
      <c r="H194" s="455"/>
      <c r="I194" s="483"/>
      <c r="J194" s="817"/>
      <c r="K194" s="817"/>
      <c r="L194" s="711">
        <f t="shared" si="95"/>
        <v>0</v>
      </c>
      <c r="M194" s="711">
        <f t="shared" si="96"/>
        <v>0</v>
      </c>
      <c r="N194" s="485" t="str">
        <f t="shared" si="97"/>
        <v/>
      </c>
      <c r="O194" s="749"/>
      <c r="P194" s="742"/>
      <c r="Q194" s="743"/>
      <c r="R194" s="741"/>
      <c r="S194" s="737"/>
      <c r="T194" s="743"/>
      <c r="U194" s="741"/>
      <c r="V194" s="779">
        <f t="shared" si="92"/>
        <v>0</v>
      </c>
      <c r="W194" s="562">
        <f t="shared" si="93"/>
        <v>0</v>
      </c>
      <c r="X194" s="749"/>
      <c r="Y194" s="744"/>
      <c r="Z194" s="743"/>
      <c r="AA194" s="741"/>
      <c r="AB194" s="391"/>
      <c r="AC194" s="447"/>
      <c r="AD194" s="132"/>
      <c r="AE194" s="132"/>
      <c r="AF194" s="132"/>
      <c r="AG194" s="551">
        <f t="shared" si="91"/>
        <v>0</v>
      </c>
      <c r="AH194" s="414"/>
      <c r="AI194" s="414"/>
      <c r="AJ194" s="414"/>
      <c r="AK194" s="414"/>
      <c r="AL194" s="414"/>
      <c r="AM194" s="414"/>
      <c r="AN194" s="414"/>
      <c r="AO194" s="414"/>
      <c r="AP194" s="258"/>
      <c r="AQ194" s="258"/>
      <c r="AR194" s="417"/>
      <c r="AS194" s="417"/>
      <c r="AT194" s="417"/>
      <c r="AU194" s="417"/>
      <c r="AV194" s="417"/>
      <c r="AW194" s="417"/>
      <c r="AX194" s="417"/>
      <c r="AY194" s="417"/>
      <c r="AZ194" s="417"/>
      <c r="BA194" s="417"/>
      <c r="BB194" s="417"/>
      <c r="BC194" s="417"/>
      <c r="BD194" s="417"/>
      <c r="BE194" s="417"/>
      <c r="BF194" s="417"/>
      <c r="BG194" s="417"/>
      <c r="BH194" s="417"/>
      <c r="BI194" s="417"/>
      <c r="BJ194" s="417"/>
      <c r="BK194" s="417"/>
      <c r="BL194" s="417"/>
      <c r="BM194" s="417"/>
      <c r="BN194" s="417"/>
      <c r="BO194" s="417"/>
      <c r="BP194" s="417"/>
      <c r="BQ194" s="417"/>
      <c r="BR194" s="417"/>
      <c r="BS194" s="417"/>
      <c r="BT194" s="417"/>
      <c r="BU194" s="417"/>
      <c r="BV194" s="417"/>
      <c r="BW194" s="417"/>
      <c r="BX194" s="417"/>
      <c r="BY194" s="417"/>
      <c r="BZ194" s="417"/>
    </row>
    <row r="195" spans="1:78" s="125" customFormat="1" ht="12.75" hidden="1" customHeight="1" outlineLevel="1" x14ac:dyDescent="0.2">
      <c r="A195" s="535" t="s">
        <v>999</v>
      </c>
      <c r="B195" s="133"/>
      <c r="C195" s="118">
        <v>0</v>
      </c>
      <c r="D195" s="545"/>
      <c r="E195" s="119"/>
      <c r="F195" s="498"/>
      <c r="G195" s="551">
        <f t="shared" si="94"/>
        <v>0</v>
      </c>
      <c r="H195" s="455"/>
      <c r="I195" s="483"/>
      <c r="J195" s="817"/>
      <c r="K195" s="817"/>
      <c r="L195" s="711">
        <f t="shared" si="95"/>
        <v>0</v>
      </c>
      <c r="M195" s="711">
        <f t="shared" si="96"/>
        <v>0</v>
      </c>
      <c r="N195" s="485" t="str">
        <f t="shared" si="97"/>
        <v/>
      </c>
      <c r="O195" s="749"/>
      <c r="P195" s="742"/>
      <c r="Q195" s="743"/>
      <c r="R195" s="741"/>
      <c r="S195" s="737"/>
      <c r="T195" s="743"/>
      <c r="U195" s="741"/>
      <c r="V195" s="779">
        <f t="shared" si="92"/>
        <v>0</v>
      </c>
      <c r="W195" s="562">
        <f t="shared" si="93"/>
        <v>0</v>
      </c>
      <c r="X195" s="749"/>
      <c r="Y195" s="744"/>
      <c r="Z195" s="743"/>
      <c r="AA195" s="741"/>
      <c r="AB195" s="391"/>
      <c r="AC195" s="447"/>
      <c r="AD195" s="132"/>
      <c r="AE195" s="132"/>
      <c r="AF195" s="132"/>
      <c r="AG195" s="551">
        <f t="shared" si="91"/>
        <v>0</v>
      </c>
      <c r="AH195" s="414"/>
      <c r="AI195" s="414"/>
      <c r="AJ195" s="414"/>
      <c r="AK195" s="414"/>
      <c r="AL195" s="414"/>
      <c r="AM195" s="414"/>
      <c r="AN195" s="414"/>
      <c r="AO195" s="414"/>
      <c r="AP195" s="258"/>
      <c r="AQ195" s="258"/>
      <c r="AR195" s="417"/>
      <c r="AS195" s="417"/>
      <c r="AT195" s="417"/>
      <c r="AU195" s="417"/>
      <c r="AV195" s="417"/>
      <c r="AW195" s="417"/>
      <c r="AX195" s="417"/>
      <c r="AY195" s="417"/>
      <c r="AZ195" s="417"/>
      <c r="BA195" s="417"/>
      <c r="BB195" s="417"/>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row>
    <row r="196" spans="1:78" s="125" customFormat="1" ht="12.75" hidden="1" customHeight="1" outlineLevel="1" x14ac:dyDescent="0.2">
      <c r="A196" s="535" t="s">
        <v>1000</v>
      </c>
      <c r="B196" s="133"/>
      <c r="C196" s="118">
        <v>0</v>
      </c>
      <c r="D196" s="545"/>
      <c r="E196" s="119"/>
      <c r="F196" s="498"/>
      <c r="G196" s="551">
        <f t="shared" si="94"/>
        <v>0</v>
      </c>
      <c r="H196" s="455"/>
      <c r="I196" s="483"/>
      <c r="J196" s="817"/>
      <c r="K196" s="817"/>
      <c r="L196" s="711">
        <f t="shared" si="95"/>
        <v>0</v>
      </c>
      <c r="M196" s="711">
        <f t="shared" si="96"/>
        <v>0</v>
      </c>
      <c r="N196" s="485" t="str">
        <f t="shared" si="97"/>
        <v/>
      </c>
      <c r="O196" s="749"/>
      <c r="P196" s="742"/>
      <c r="Q196" s="743"/>
      <c r="R196" s="741"/>
      <c r="S196" s="737"/>
      <c r="T196" s="743"/>
      <c r="U196" s="741"/>
      <c r="V196" s="779">
        <f t="shared" si="92"/>
        <v>0</v>
      </c>
      <c r="W196" s="562">
        <f t="shared" si="93"/>
        <v>0</v>
      </c>
      <c r="X196" s="749"/>
      <c r="Y196" s="744"/>
      <c r="Z196" s="743"/>
      <c r="AA196" s="741"/>
      <c r="AB196" s="391"/>
      <c r="AC196" s="447"/>
      <c r="AD196" s="132"/>
      <c r="AE196" s="132"/>
      <c r="AF196" s="132"/>
      <c r="AG196" s="551">
        <f t="shared" si="91"/>
        <v>0</v>
      </c>
      <c r="AH196" s="414"/>
      <c r="AI196" s="414"/>
      <c r="AJ196" s="414"/>
      <c r="AK196" s="414"/>
      <c r="AL196" s="414"/>
      <c r="AM196" s="414"/>
      <c r="AN196" s="414"/>
      <c r="AO196" s="414"/>
      <c r="AP196" s="258"/>
      <c r="AQ196" s="258"/>
      <c r="AR196" s="417"/>
      <c r="AS196" s="417"/>
      <c r="AT196" s="417"/>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17"/>
    </row>
    <row r="197" spans="1:78" s="125" customFormat="1" ht="12.75" hidden="1" customHeight="1" outlineLevel="1" x14ac:dyDescent="0.2">
      <c r="A197" s="535" t="s">
        <v>1001</v>
      </c>
      <c r="B197" s="133"/>
      <c r="C197" s="118">
        <v>0</v>
      </c>
      <c r="D197" s="545"/>
      <c r="E197" s="119"/>
      <c r="F197" s="498"/>
      <c r="G197" s="551">
        <f t="shared" si="94"/>
        <v>0</v>
      </c>
      <c r="H197" s="455"/>
      <c r="I197" s="483"/>
      <c r="J197" s="817"/>
      <c r="K197" s="817"/>
      <c r="L197" s="711">
        <f t="shared" si="95"/>
        <v>0</v>
      </c>
      <c r="M197" s="711">
        <f t="shared" si="96"/>
        <v>0</v>
      </c>
      <c r="N197" s="485" t="str">
        <f t="shared" si="97"/>
        <v/>
      </c>
      <c r="O197" s="749"/>
      <c r="P197" s="742"/>
      <c r="Q197" s="743"/>
      <c r="R197" s="741"/>
      <c r="S197" s="737"/>
      <c r="T197" s="743"/>
      <c r="U197" s="741"/>
      <c r="V197" s="779">
        <f t="shared" si="92"/>
        <v>0</v>
      </c>
      <c r="W197" s="562">
        <f t="shared" si="93"/>
        <v>0</v>
      </c>
      <c r="X197" s="749"/>
      <c r="Y197" s="744"/>
      <c r="Z197" s="743"/>
      <c r="AA197" s="741"/>
      <c r="AB197" s="391"/>
      <c r="AC197" s="447"/>
      <c r="AD197" s="132"/>
      <c r="AE197" s="132"/>
      <c r="AF197" s="132"/>
      <c r="AG197" s="551">
        <f t="shared" si="91"/>
        <v>0</v>
      </c>
      <c r="AH197" s="414"/>
      <c r="AI197" s="414"/>
      <c r="AJ197" s="414"/>
      <c r="AK197" s="414"/>
      <c r="AL197" s="414"/>
      <c r="AM197" s="414"/>
      <c r="AN197" s="414"/>
      <c r="AO197" s="414"/>
      <c r="AP197" s="258"/>
      <c r="AQ197" s="258"/>
      <c r="AR197" s="417"/>
      <c r="AS197" s="417"/>
      <c r="AT197" s="417"/>
      <c r="AU197" s="417"/>
      <c r="AV197" s="417"/>
      <c r="AW197" s="417"/>
      <c r="AX197" s="417"/>
      <c r="AY197" s="417"/>
      <c r="AZ197" s="417"/>
      <c r="BA197" s="417"/>
      <c r="BB197" s="417"/>
      <c r="BC197" s="417"/>
      <c r="BD197" s="417"/>
      <c r="BE197" s="417"/>
      <c r="BF197" s="417"/>
      <c r="BG197" s="417"/>
      <c r="BH197" s="417"/>
      <c r="BI197" s="417"/>
      <c r="BJ197" s="417"/>
      <c r="BK197" s="417"/>
      <c r="BL197" s="417"/>
      <c r="BM197" s="417"/>
      <c r="BN197" s="417"/>
      <c r="BO197" s="417"/>
      <c r="BP197" s="417"/>
      <c r="BQ197" s="417"/>
      <c r="BR197" s="417"/>
      <c r="BS197" s="417"/>
      <c r="BT197" s="417"/>
      <c r="BU197" s="417"/>
      <c r="BV197" s="417"/>
      <c r="BW197" s="417"/>
      <c r="BX197" s="417"/>
      <c r="BY197" s="417"/>
      <c r="BZ197" s="417"/>
    </row>
    <row r="198" spans="1:78" s="125" customFormat="1" ht="12.75" hidden="1" customHeight="1" outlineLevel="1" x14ac:dyDescent="0.2">
      <c r="A198" s="535" t="s">
        <v>1002</v>
      </c>
      <c r="B198" s="133"/>
      <c r="C198" s="118">
        <v>0</v>
      </c>
      <c r="D198" s="545"/>
      <c r="E198" s="119"/>
      <c r="F198" s="498"/>
      <c r="G198" s="551">
        <f t="shared" si="94"/>
        <v>0</v>
      </c>
      <c r="H198" s="455"/>
      <c r="I198" s="483"/>
      <c r="J198" s="817"/>
      <c r="K198" s="817"/>
      <c r="L198" s="711">
        <f t="shared" si="95"/>
        <v>0</v>
      </c>
      <c r="M198" s="711">
        <f t="shared" si="96"/>
        <v>0</v>
      </c>
      <c r="N198" s="485" t="str">
        <f t="shared" si="97"/>
        <v/>
      </c>
      <c r="O198" s="749"/>
      <c r="P198" s="742"/>
      <c r="Q198" s="743"/>
      <c r="R198" s="741"/>
      <c r="S198" s="737"/>
      <c r="T198" s="743"/>
      <c r="U198" s="741"/>
      <c r="V198" s="779">
        <f t="shared" si="92"/>
        <v>0</v>
      </c>
      <c r="W198" s="562">
        <f t="shared" si="93"/>
        <v>0</v>
      </c>
      <c r="X198" s="749"/>
      <c r="Y198" s="744"/>
      <c r="Z198" s="743"/>
      <c r="AA198" s="741"/>
      <c r="AB198" s="391"/>
      <c r="AC198" s="447"/>
      <c r="AD198" s="132"/>
      <c r="AE198" s="132"/>
      <c r="AF198" s="132"/>
      <c r="AG198" s="551">
        <f t="shared" si="91"/>
        <v>0</v>
      </c>
      <c r="AH198" s="414"/>
      <c r="AI198" s="414"/>
      <c r="AJ198" s="414"/>
      <c r="AK198" s="414"/>
      <c r="AL198" s="414"/>
      <c r="AM198" s="414"/>
      <c r="AN198" s="414"/>
      <c r="AO198" s="414"/>
      <c r="AP198" s="258"/>
      <c r="AQ198" s="258"/>
      <c r="AR198" s="417"/>
      <c r="AS198" s="417"/>
      <c r="AT198" s="417"/>
      <c r="AU198" s="417"/>
      <c r="AV198" s="417"/>
      <c r="AW198" s="417"/>
      <c r="AX198" s="417"/>
      <c r="AY198" s="417"/>
      <c r="AZ198" s="417"/>
      <c r="BA198" s="417"/>
      <c r="BB198" s="417"/>
      <c r="BC198" s="417"/>
      <c r="BD198" s="417"/>
      <c r="BE198" s="417"/>
      <c r="BF198" s="417"/>
      <c r="BG198" s="417"/>
      <c r="BH198" s="417"/>
      <c r="BI198" s="417"/>
      <c r="BJ198" s="417"/>
      <c r="BK198" s="417"/>
      <c r="BL198" s="417"/>
      <c r="BM198" s="417"/>
      <c r="BN198" s="417"/>
      <c r="BO198" s="417"/>
      <c r="BP198" s="417"/>
      <c r="BQ198" s="417"/>
      <c r="BR198" s="417"/>
      <c r="BS198" s="417"/>
      <c r="BT198" s="417"/>
      <c r="BU198" s="417"/>
      <c r="BV198" s="417"/>
      <c r="BW198" s="417"/>
      <c r="BX198" s="417"/>
      <c r="BY198" s="417"/>
      <c r="BZ198" s="417"/>
    </row>
    <row r="199" spans="1:78" s="125" customFormat="1" ht="12.75" hidden="1" customHeight="1" outlineLevel="1" x14ac:dyDescent="0.2">
      <c r="A199" s="535" t="s">
        <v>1003</v>
      </c>
      <c r="B199" s="133"/>
      <c r="C199" s="118">
        <v>0</v>
      </c>
      <c r="D199" s="545"/>
      <c r="E199" s="119"/>
      <c r="F199" s="498"/>
      <c r="G199" s="551">
        <f t="shared" si="94"/>
        <v>0</v>
      </c>
      <c r="H199" s="455"/>
      <c r="I199" s="483"/>
      <c r="J199" s="817"/>
      <c r="K199" s="817"/>
      <c r="L199" s="711">
        <f t="shared" si="95"/>
        <v>0</v>
      </c>
      <c r="M199" s="711">
        <f t="shared" si="96"/>
        <v>0</v>
      </c>
      <c r="N199" s="485" t="str">
        <f t="shared" si="97"/>
        <v/>
      </c>
      <c r="O199" s="749"/>
      <c r="P199" s="742"/>
      <c r="Q199" s="743"/>
      <c r="R199" s="741"/>
      <c r="S199" s="737"/>
      <c r="T199" s="743"/>
      <c r="U199" s="741"/>
      <c r="V199" s="779">
        <f t="shared" si="92"/>
        <v>0</v>
      </c>
      <c r="W199" s="562">
        <f t="shared" si="93"/>
        <v>0</v>
      </c>
      <c r="X199" s="749"/>
      <c r="Y199" s="744"/>
      <c r="Z199" s="743"/>
      <c r="AA199" s="741"/>
      <c r="AB199" s="391"/>
      <c r="AC199" s="447"/>
      <c r="AD199" s="132"/>
      <c r="AE199" s="132"/>
      <c r="AF199" s="132"/>
      <c r="AG199" s="551">
        <f t="shared" si="91"/>
        <v>0</v>
      </c>
      <c r="AH199" s="414"/>
      <c r="AI199" s="414"/>
      <c r="AJ199" s="414"/>
      <c r="AK199" s="414"/>
      <c r="AL199" s="414"/>
      <c r="AM199" s="414"/>
      <c r="AN199" s="414"/>
      <c r="AO199" s="414"/>
      <c r="AP199" s="258"/>
      <c r="AQ199" s="258"/>
      <c r="AR199" s="417"/>
      <c r="AS199" s="417"/>
      <c r="AT199" s="417"/>
      <c r="AU199" s="417"/>
      <c r="AV199" s="417"/>
      <c r="AW199" s="417"/>
      <c r="AX199" s="417"/>
      <c r="AY199" s="417"/>
      <c r="AZ199" s="417"/>
      <c r="BA199" s="417"/>
      <c r="BB199" s="417"/>
      <c r="BC199" s="417"/>
      <c r="BD199" s="417"/>
      <c r="BE199" s="417"/>
      <c r="BF199" s="417"/>
      <c r="BG199" s="417"/>
      <c r="BH199" s="417"/>
      <c r="BI199" s="417"/>
      <c r="BJ199" s="417"/>
      <c r="BK199" s="417"/>
      <c r="BL199" s="417"/>
      <c r="BM199" s="417"/>
      <c r="BN199" s="417"/>
      <c r="BO199" s="417"/>
      <c r="BP199" s="417"/>
      <c r="BQ199" s="417"/>
      <c r="BR199" s="417"/>
      <c r="BS199" s="417"/>
      <c r="BT199" s="417"/>
      <c r="BU199" s="417"/>
      <c r="BV199" s="417"/>
      <c r="BW199" s="417"/>
      <c r="BX199" s="417"/>
      <c r="BY199" s="417"/>
      <c r="BZ199" s="417"/>
    </row>
    <row r="200" spans="1:78" s="125" customFormat="1" ht="12.75" hidden="1" customHeight="1" outlineLevel="1" x14ac:dyDescent="0.2">
      <c r="A200" s="535" t="s">
        <v>1004</v>
      </c>
      <c r="B200" s="133"/>
      <c r="C200" s="118">
        <v>0</v>
      </c>
      <c r="D200" s="545"/>
      <c r="E200" s="119"/>
      <c r="F200" s="498"/>
      <c r="G200" s="551">
        <f t="shared" si="94"/>
        <v>0</v>
      </c>
      <c r="H200" s="455"/>
      <c r="I200" s="483"/>
      <c r="J200" s="817"/>
      <c r="K200" s="817"/>
      <c r="L200" s="711">
        <f t="shared" si="95"/>
        <v>0</v>
      </c>
      <c r="M200" s="711">
        <f t="shared" si="96"/>
        <v>0</v>
      </c>
      <c r="N200" s="485" t="str">
        <f t="shared" si="97"/>
        <v/>
      </c>
      <c r="O200" s="749"/>
      <c r="P200" s="742"/>
      <c r="Q200" s="743"/>
      <c r="R200" s="741"/>
      <c r="S200" s="737"/>
      <c r="T200" s="743"/>
      <c r="U200" s="741"/>
      <c r="V200" s="779">
        <f t="shared" si="92"/>
        <v>0</v>
      </c>
      <c r="W200" s="562">
        <f t="shared" si="93"/>
        <v>0</v>
      </c>
      <c r="X200" s="749"/>
      <c r="Y200" s="744"/>
      <c r="Z200" s="743"/>
      <c r="AA200" s="741"/>
      <c r="AB200" s="391"/>
      <c r="AC200" s="447"/>
      <c r="AD200" s="132"/>
      <c r="AE200" s="132"/>
      <c r="AF200" s="132"/>
      <c r="AG200" s="551">
        <f t="shared" si="91"/>
        <v>0</v>
      </c>
      <c r="AH200" s="414"/>
      <c r="AI200" s="414"/>
      <c r="AJ200" s="414"/>
      <c r="AK200" s="414"/>
      <c r="AL200" s="414"/>
      <c r="AM200" s="414"/>
      <c r="AN200" s="414"/>
      <c r="AO200" s="414"/>
      <c r="AP200" s="258"/>
      <c r="AQ200" s="258"/>
      <c r="AR200" s="417"/>
      <c r="AS200" s="417"/>
      <c r="AT200" s="417"/>
      <c r="AU200" s="417"/>
      <c r="AV200" s="417"/>
      <c r="AW200" s="417"/>
      <c r="AX200" s="417"/>
      <c r="AY200" s="417"/>
      <c r="AZ200" s="417"/>
      <c r="BA200" s="417"/>
      <c r="BB200" s="417"/>
      <c r="BC200" s="417"/>
      <c r="BD200" s="417"/>
      <c r="BE200" s="417"/>
      <c r="BF200" s="417"/>
      <c r="BG200" s="417"/>
      <c r="BH200" s="417"/>
      <c r="BI200" s="417"/>
      <c r="BJ200" s="417"/>
      <c r="BK200" s="417"/>
      <c r="BL200" s="417"/>
      <c r="BM200" s="417"/>
      <c r="BN200" s="417"/>
      <c r="BO200" s="417"/>
      <c r="BP200" s="417"/>
      <c r="BQ200" s="417"/>
      <c r="BR200" s="417"/>
      <c r="BS200" s="417"/>
      <c r="BT200" s="417"/>
      <c r="BU200" s="417"/>
      <c r="BV200" s="417"/>
      <c r="BW200" s="417"/>
      <c r="BX200" s="417"/>
      <c r="BY200" s="417"/>
      <c r="BZ200" s="417"/>
    </row>
    <row r="201" spans="1:78" s="125" customFormat="1" ht="12.75" hidden="1" customHeight="1" outlineLevel="1" x14ac:dyDescent="0.2">
      <c r="A201" s="535" t="s">
        <v>1005</v>
      </c>
      <c r="B201" s="133"/>
      <c r="C201" s="118">
        <v>0</v>
      </c>
      <c r="D201" s="545"/>
      <c r="E201" s="119"/>
      <c r="F201" s="498"/>
      <c r="G201" s="551">
        <f t="shared" si="94"/>
        <v>0</v>
      </c>
      <c r="H201" s="455"/>
      <c r="I201" s="483"/>
      <c r="J201" s="817"/>
      <c r="K201" s="817"/>
      <c r="L201" s="711">
        <f t="shared" si="95"/>
        <v>0</v>
      </c>
      <c r="M201" s="711">
        <f t="shared" si="96"/>
        <v>0</v>
      </c>
      <c r="N201" s="485" t="str">
        <f t="shared" si="97"/>
        <v/>
      </c>
      <c r="O201" s="749"/>
      <c r="P201" s="742"/>
      <c r="Q201" s="743"/>
      <c r="R201" s="741"/>
      <c r="S201" s="737"/>
      <c r="T201" s="743"/>
      <c r="U201" s="741"/>
      <c r="V201" s="779">
        <f t="shared" si="92"/>
        <v>0</v>
      </c>
      <c r="W201" s="562">
        <f t="shared" si="93"/>
        <v>0</v>
      </c>
      <c r="X201" s="749"/>
      <c r="Y201" s="744"/>
      <c r="Z201" s="743"/>
      <c r="AA201" s="741"/>
      <c r="AB201" s="391"/>
      <c r="AC201" s="447"/>
      <c r="AD201" s="132"/>
      <c r="AE201" s="132"/>
      <c r="AF201" s="132"/>
      <c r="AG201" s="551">
        <f t="shared" si="91"/>
        <v>0</v>
      </c>
      <c r="AH201" s="414"/>
      <c r="AI201" s="414"/>
      <c r="AJ201" s="414"/>
      <c r="AK201" s="414"/>
      <c r="AL201" s="414"/>
      <c r="AM201" s="414"/>
      <c r="AN201" s="414"/>
      <c r="AO201" s="414"/>
      <c r="AP201" s="258"/>
      <c r="AQ201" s="258"/>
      <c r="AR201" s="417"/>
      <c r="AS201" s="417"/>
      <c r="AT201" s="417"/>
      <c r="AU201" s="417"/>
      <c r="AV201" s="417"/>
      <c r="AW201" s="417"/>
      <c r="AX201" s="417"/>
      <c r="AY201" s="417"/>
      <c r="AZ201" s="417"/>
      <c r="BA201" s="417"/>
      <c r="BB201" s="417"/>
      <c r="BC201" s="417"/>
      <c r="BD201" s="417"/>
      <c r="BE201" s="417"/>
      <c r="BF201" s="417"/>
      <c r="BG201" s="417"/>
      <c r="BH201" s="417"/>
      <c r="BI201" s="417"/>
      <c r="BJ201" s="417"/>
      <c r="BK201" s="417"/>
      <c r="BL201" s="417"/>
      <c r="BM201" s="417"/>
      <c r="BN201" s="417"/>
      <c r="BO201" s="417"/>
      <c r="BP201" s="417"/>
      <c r="BQ201" s="417"/>
      <c r="BR201" s="417"/>
      <c r="BS201" s="417"/>
      <c r="BT201" s="417"/>
      <c r="BU201" s="417"/>
      <c r="BV201" s="417"/>
      <c r="BW201" s="417"/>
      <c r="BX201" s="417"/>
      <c r="BY201" s="417"/>
      <c r="BZ201" s="417"/>
    </row>
    <row r="202" spans="1:78" s="125" customFormat="1" ht="12.75" hidden="1" customHeight="1" outlineLevel="1" x14ac:dyDescent="0.2">
      <c r="A202" s="535" t="s">
        <v>1006</v>
      </c>
      <c r="B202" s="133"/>
      <c r="C202" s="118">
        <v>0</v>
      </c>
      <c r="D202" s="545"/>
      <c r="E202" s="119"/>
      <c r="F202" s="498"/>
      <c r="G202" s="551">
        <f t="shared" si="94"/>
        <v>0</v>
      </c>
      <c r="H202" s="455"/>
      <c r="I202" s="483"/>
      <c r="J202" s="817"/>
      <c r="K202" s="817"/>
      <c r="L202" s="711">
        <f t="shared" si="95"/>
        <v>0</v>
      </c>
      <c r="M202" s="711">
        <f t="shared" si="96"/>
        <v>0</v>
      </c>
      <c r="N202" s="485" t="str">
        <f t="shared" si="97"/>
        <v/>
      </c>
      <c r="O202" s="749"/>
      <c r="P202" s="742"/>
      <c r="Q202" s="743"/>
      <c r="R202" s="741"/>
      <c r="S202" s="737"/>
      <c r="T202" s="743"/>
      <c r="U202" s="741"/>
      <c r="V202" s="779">
        <f t="shared" si="92"/>
        <v>0</v>
      </c>
      <c r="W202" s="562">
        <f t="shared" si="93"/>
        <v>0</v>
      </c>
      <c r="X202" s="749"/>
      <c r="Y202" s="744"/>
      <c r="Z202" s="743"/>
      <c r="AA202" s="741"/>
      <c r="AB202" s="391"/>
      <c r="AC202" s="447"/>
      <c r="AD202" s="132"/>
      <c r="AE202" s="132"/>
      <c r="AF202" s="132"/>
      <c r="AG202" s="551">
        <f t="shared" si="91"/>
        <v>0</v>
      </c>
      <c r="AH202" s="414"/>
      <c r="AI202" s="414"/>
      <c r="AJ202" s="414"/>
      <c r="AK202" s="414"/>
      <c r="AL202" s="414"/>
      <c r="AM202" s="414"/>
      <c r="AN202" s="414"/>
      <c r="AO202" s="414"/>
      <c r="AP202" s="258"/>
      <c r="AQ202" s="258"/>
      <c r="AR202" s="417"/>
      <c r="AS202" s="417"/>
      <c r="AT202" s="417"/>
      <c r="AU202" s="417"/>
      <c r="AV202" s="417"/>
      <c r="AW202" s="417"/>
      <c r="AX202" s="417"/>
      <c r="AY202" s="417"/>
      <c r="AZ202" s="417"/>
      <c r="BA202" s="417"/>
      <c r="BB202" s="417"/>
      <c r="BC202" s="417"/>
      <c r="BD202" s="417"/>
      <c r="BE202" s="417"/>
      <c r="BF202" s="417"/>
      <c r="BG202" s="417"/>
      <c r="BH202" s="417"/>
      <c r="BI202" s="417"/>
      <c r="BJ202" s="417"/>
      <c r="BK202" s="417"/>
      <c r="BL202" s="417"/>
      <c r="BM202" s="417"/>
      <c r="BN202" s="417"/>
      <c r="BO202" s="417"/>
      <c r="BP202" s="417"/>
      <c r="BQ202" s="417"/>
      <c r="BR202" s="417"/>
      <c r="BS202" s="417"/>
      <c r="BT202" s="417"/>
      <c r="BU202" s="417"/>
      <c r="BV202" s="417"/>
      <c r="BW202" s="417"/>
      <c r="BX202" s="417"/>
      <c r="BY202" s="417"/>
      <c r="BZ202" s="417"/>
    </row>
    <row r="203" spans="1:78" s="125" customFormat="1" ht="12.75" hidden="1" customHeight="1" outlineLevel="1" x14ac:dyDescent="0.2">
      <c r="A203" s="535" t="s">
        <v>1007</v>
      </c>
      <c r="B203" s="133"/>
      <c r="C203" s="118">
        <v>0</v>
      </c>
      <c r="D203" s="545"/>
      <c r="E203" s="119"/>
      <c r="F203" s="498"/>
      <c r="G203" s="551">
        <f t="shared" si="94"/>
        <v>0</v>
      </c>
      <c r="H203" s="455"/>
      <c r="I203" s="483"/>
      <c r="J203" s="817"/>
      <c r="K203" s="817"/>
      <c r="L203" s="711">
        <f t="shared" si="95"/>
        <v>0</v>
      </c>
      <c r="M203" s="711">
        <f t="shared" si="96"/>
        <v>0</v>
      </c>
      <c r="N203" s="485" t="str">
        <f t="shared" si="97"/>
        <v/>
      </c>
      <c r="O203" s="749"/>
      <c r="P203" s="742"/>
      <c r="Q203" s="743"/>
      <c r="R203" s="741"/>
      <c r="S203" s="737"/>
      <c r="T203" s="743"/>
      <c r="U203" s="741"/>
      <c r="V203" s="779">
        <f t="shared" si="92"/>
        <v>0</v>
      </c>
      <c r="W203" s="562">
        <f t="shared" si="93"/>
        <v>0</v>
      </c>
      <c r="X203" s="749"/>
      <c r="Y203" s="744"/>
      <c r="Z203" s="743"/>
      <c r="AA203" s="741"/>
      <c r="AB203" s="391"/>
      <c r="AC203" s="447"/>
      <c r="AD203" s="132"/>
      <c r="AE203" s="132"/>
      <c r="AF203" s="132"/>
      <c r="AG203" s="551">
        <f t="shared" si="91"/>
        <v>0</v>
      </c>
      <c r="AH203" s="414"/>
      <c r="AI203" s="414"/>
      <c r="AJ203" s="414"/>
      <c r="AK203" s="414"/>
      <c r="AL203" s="414"/>
      <c r="AM203" s="414"/>
      <c r="AN203" s="414"/>
      <c r="AO203" s="414"/>
      <c r="AP203" s="258"/>
      <c r="AQ203" s="258"/>
      <c r="AR203" s="417"/>
      <c r="AS203" s="417"/>
      <c r="AT203" s="417"/>
      <c r="AU203" s="417"/>
      <c r="AV203" s="417"/>
      <c r="AW203" s="417"/>
      <c r="AX203" s="417"/>
      <c r="AY203" s="417"/>
      <c r="AZ203" s="417"/>
      <c r="BA203" s="417"/>
      <c r="BB203" s="417"/>
      <c r="BC203" s="417"/>
      <c r="BD203" s="417"/>
      <c r="BE203" s="417"/>
      <c r="BF203" s="417"/>
      <c r="BG203" s="417"/>
      <c r="BH203" s="417"/>
      <c r="BI203" s="417"/>
      <c r="BJ203" s="417"/>
      <c r="BK203" s="417"/>
      <c r="BL203" s="417"/>
      <c r="BM203" s="417"/>
      <c r="BN203" s="417"/>
      <c r="BO203" s="417"/>
      <c r="BP203" s="417"/>
      <c r="BQ203" s="417"/>
      <c r="BR203" s="417"/>
      <c r="BS203" s="417"/>
      <c r="BT203" s="417"/>
      <c r="BU203" s="417"/>
      <c r="BV203" s="417"/>
      <c r="BW203" s="417"/>
      <c r="BX203" s="417"/>
      <c r="BY203" s="417"/>
      <c r="BZ203" s="417"/>
    </row>
    <row r="204" spans="1:78" s="125" customFormat="1" ht="12.75" hidden="1" customHeight="1" outlineLevel="1" x14ac:dyDescent="0.2">
      <c r="A204" s="535" t="s">
        <v>1008</v>
      </c>
      <c r="B204" s="133"/>
      <c r="C204" s="118">
        <v>0</v>
      </c>
      <c r="D204" s="545"/>
      <c r="E204" s="119"/>
      <c r="F204" s="498"/>
      <c r="G204" s="551">
        <f t="shared" si="94"/>
        <v>0</v>
      </c>
      <c r="H204" s="455"/>
      <c r="I204" s="483"/>
      <c r="J204" s="817"/>
      <c r="K204" s="817"/>
      <c r="L204" s="711">
        <f t="shared" si="95"/>
        <v>0</v>
      </c>
      <c r="M204" s="711">
        <f t="shared" si="96"/>
        <v>0</v>
      </c>
      <c r="N204" s="485" t="str">
        <f t="shared" si="97"/>
        <v/>
      </c>
      <c r="O204" s="749"/>
      <c r="P204" s="742"/>
      <c r="Q204" s="743"/>
      <c r="R204" s="741"/>
      <c r="S204" s="737"/>
      <c r="T204" s="743"/>
      <c r="U204" s="741"/>
      <c r="V204" s="779">
        <f t="shared" si="92"/>
        <v>0</v>
      </c>
      <c r="W204" s="562">
        <f t="shared" si="93"/>
        <v>0</v>
      </c>
      <c r="X204" s="749"/>
      <c r="Y204" s="744"/>
      <c r="Z204" s="743"/>
      <c r="AA204" s="741"/>
      <c r="AB204" s="391"/>
      <c r="AC204" s="447"/>
      <c r="AD204" s="132"/>
      <c r="AE204" s="132"/>
      <c r="AF204" s="132"/>
      <c r="AG204" s="551">
        <f t="shared" si="91"/>
        <v>0</v>
      </c>
      <c r="AH204" s="414"/>
      <c r="AI204" s="414"/>
      <c r="AJ204" s="414"/>
      <c r="AK204" s="414"/>
      <c r="AL204" s="414"/>
      <c r="AM204" s="414"/>
      <c r="AN204" s="414"/>
      <c r="AO204" s="414"/>
      <c r="AP204" s="258"/>
      <c r="AQ204" s="258"/>
      <c r="AR204" s="417"/>
      <c r="AS204" s="417"/>
      <c r="AT204" s="417"/>
      <c r="AU204" s="417"/>
      <c r="AV204" s="417"/>
      <c r="AW204" s="417"/>
      <c r="AX204" s="417"/>
      <c r="AY204" s="417"/>
      <c r="AZ204" s="417"/>
      <c r="BA204" s="417"/>
      <c r="BB204" s="417"/>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row>
    <row r="205" spans="1:78" ht="12.75" customHeight="1" collapsed="1" x14ac:dyDescent="0.2">
      <c r="A205" s="398"/>
      <c r="B205" s="512"/>
      <c r="C205" s="399"/>
      <c r="D205" s="391"/>
      <c r="E205" s="400"/>
      <c r="F205" s="400"/>
      <c r="G205" s="514"/>
      <c r="H205" s="431"/>
      <c r="I205" s="428"/>
      <c r="J205" s="429"/>
      <c r="K205" s="427"/>
      <c r="L205" s="427"/>
      <c r="M205" s="427"/>
      <c r="N205" s="430"/>
      <c r="O205" s="755"/>
      <c r="P205" s="745"/>
      <c r="Q205" s="745"/>
      <c r="R205" s="745"/>
      <c r="S205" s="751"/>
      <c r="T205" s="746"/>
      <c r="U205" s="435"/>
      <c r="V205" s="435"/>
      <c r="W205" s="435"/>
      <c r="X205" s="755"/>
      <c r="Y205" s="755"/>
      <c r="Z205" s="745"/>
      <c r="AA205" s="745"/>
      <c r="AB205" s="391"/>
      <c r="AC205" s="401"/>
      <c r="AD205" s="426"/>
      <c r="AE205" s="426"/>
      <c r="AF205" s="426"/>
      <c r="AG205" s="426"/>
      <c r="AH205" s="405"/>
      <c r="AI205" s="405"/>
      <c r="AJ205" s="405"/>
      <c r="AK205" s="405"/>
      <c r="AL205" s="405"/>
      <c r="AM205" s="405"/>
      <c r="AN205" s="405"/>
      <c r="AO205" s="405"/>
      <c r="AP205" s="258"/>
      <c r="AQ205" s="258"/>
      <c r="AR205" s="281"/>
      <c r="AS205" s="281"/>
      <c r="AT205" s="281"/>
      <c r="AU205" s="281"/>
      <c r="AV205" s="281"/>
      <c r="AW205" s="281"/>
      <c r="AX205" s="281"/>
      <c r="AY205" s="281"/>
      <c r="AZ205" s="281"/>
      <c r="BA205" s="281"/>
      <c r="BB205" s="281"/>
      <c r="BC205" s="281"/>
      <c r="BD205" s="281"/>
      <c r="BE205" s="281"/>
      <c r="BF205" s="281"/>
      <c r="BG205" s="281"/>
      <c r="BH205" s="281"/>
      <c r="BI205" s="281"/>
      <c r="BJ205" s="281"/>
      <c r="BK205" s="281"/>
      <c r="BL205" s="281"/>
      <c r="BM205" s="281"/>
      <c r="BN205" s="281"/>
      <c r="BO205" s="281"/>
      <c r="BP205" s="281"/>
      <c r="BQ205" s="281"/>
      <c r="BR205" s="281"/>
      <c r="BS205" s="281"/>
      <c r="BT205" s="281"/>
      <c r="BU205" s="281"/>
      <c r="BV205" s="281"/>
      <c r="BW205" s="281"/>
      <c r="BX205" s="281"/>
      <c r="BY205" s="281"/>
      <c r="BZ205" s="281"/>
    </row>
    <row r="206" spans="1:78" ht="12.75" customHeight="1" x14ac:dyDescent="0.2">
      <c r="A206" s="513"/>
      <c r="B206" s="712" t="str">
        <f>IF(Stammblatt!$L$4=1,'Kalkulation Herstellungskosten'!AP206,'Kalkulation Herstellungskosten'!AQ206)</f>
        <v>Σ-GAGEN (inkl. SZ u. UEL)</v>
      </c>
      <c r="C206" s="713">
        <f>SUM(C29:C205)</f>
        <v>0</v>
      </c>
      <c r="D206" s="471"/>
      <c r="E206" s="472"/>
      <c r="F206" s="472"/>
      <c r="G206" s="515">
        <f>SUM(G29:G205)</f>
        <v>0</v>
      </c>
      <c r="H206" s="472"/>
      <c r="I206" s="473"/>
      <c r="J206" s="474"/>
      <c r="K206" s="472"/>
      <c r="L206" s="476">
        <f>SUM(L29:L205)</f>
        <v>0</v>
      </c>
      <c r="M206" s="476">
        <f>SUM(M29:M205)</f>
        <v>0</v>
      </c>
      <c r="N206" s="475"/>
      <c r="O206" s="756">
        <f>SUM(O29:O205)</f>
        <v>0</v>
      </c>
      <c r="P206" s="756">
        <f>SUM(P29:P205)</f>
        <v>0</v>
      </c>
      <c r="Q206" s="756">
        <f t="shared" ref="Q206:R206" si="98">SUM(Q29:Q205)</f>
        <v>0</v>
      </c>
      <c r="R206" s="756">
        <f t="shared" si="98"/>
        <v>0</v>
      </c>
      <c r="S206" s="751"/>
      <c r="T206" s="757">
        <f>SUM(T29:T205)</f>
        <v>0</v>
      </c>
      <c r="U206" s="756">
        <f>SUM(U29:U205)</f>
        <v>0</v>
      </c>
      <c r="V206" s="780">
        <f>SUM(V29:V205)</f>
        <v>0</v>
      </c>
      <c r="W206" s="718">
        <f>G206-V206</f>
        <v>0</v>
      </c>
      <c r="X206" s="756">
        <f>SUM(X29:X205)</f>
        <v>0</v>
      </c>
      <c r="Y206" s="756">
        <f>SUM(Y29:Y205)</f>
        <v>0</v>
      </c>
      <c r="Z206" s="756">
        <f t="shared" ref="Z206:AA206" si="99">SUM(Z29:Z205)</f>
        <v>0</v>
      </c>
      <c r="AA206" s="756">
        <f t="shared" si="99"/>
        <v>0</v>
      </c>
      <c r="AB206" s="391"/>
      <c r="AC206" s="719"/>
      <c r="AD206" s="720">
        <f>SUM(AD29:AD205)</f>
        <v>0</v>
      </c>
      <c r="AE206" s="720">
        <f>SUM(AE29:AE205)</f>
        <v>0</v>
      </c>
      <c r="AF206" s="720">
        <f>SUM(AF29:AF205)</f>
        <v>0</v>
      </c>
      <c r="AG206" s="515">
        <f>SUM(G206,AD206:AF206)</f>
        <v>0</v>
      </c>
      <c r="AH206" s="405"/>
      <c r="AI206" s="405"/>
      <c r="AJ206" s="405"/>
      <c r="AK206" s="405"/>
      <c r="AL206" s="405"/>
      <c r="AM206" s="405"/>
      <c r="AN206" s="405"/>
      <c r="AO206" s="405"/>
      <c r="AP206" s="258" t="s">
        <v>325</v>
      </c>
      <c r="AQ206" s="258" t="s">
        <v>362</v>
      </c>
      <c r="AR206" s="281"/>
      <c r="AS206" s="281"/>
      <c r="AT206" s="281"/>
      <c r="AU206" s="281"/>
      <c r="AV206" s="281"/>
      <c r="AW206" s="281"/>
      <c r="AX206" s="281"/>
      <c r="AY206" s="281"/>
      <c r="AZ206" s="281"/>
      <c r="BA206" s="281"/>
      <c r="BB206" s="281"/>
      <c r="BC206" s="281"/>
      <c r="BD206" s="281"/>
      <c r="BE206" s="281"/>
      <c r="BF206" s="281"/>
      <c r="BG206" s="281"/>
      <c r="BH206" s="281"/>
      <c r="BI206" s="281"/>
      <c r="BJ206" s="281"/>
      <c r="BK206" s="281"/>
      <c r="BL206" s="281"/>
      <c r="BM206" s="281"/>
      <c r="BN206" s="281"/>
      <c r="BO206" s="281"/>
      <c r="BP206" s="281"/>
      <c r="BQ206" s="281"/>
      <c r="BR206" s="281"/>
      <c r="BS206" s="281"/>
      <c r="BT206" s="281"/>
      <c r="BU206" s="281"/>
      <c r="BV206" s="281"/>
      <c r="BW206" s="281"/>
      <c r="BX206" s="281"/>
      <c r="BY206" s="281"/>
      <c r="BZ206" s="281"/>
    </row>
    <row r="207" spans="1:78" ht="12.75" customHeight="1" x14ac:dyDescent="0.2">
      <c r="A207" s="398"/>
      <c r="B207" s="399"/>
      <c r="C207" s="714"/>
      <c r="D207" s="391"/>
      <c r="E207" s="400"/>
      <c r="F207" s="400"/>
      <c r="G207" s="516"/>
      <c r="H207" s="431"/>
      <c r="I207" s="394"/>
      <c r="J207" s="432"/>
      <c r="K207" s="431"/>
      <c r="L207" s="431"/>
      <c r="M207" s="431"/>
      <c r="N207" s="433"/>
      <c r="O207" s="745"/>
      <c r="P207" s="745"/>
      <c r="Q207" s="745"/>
      <c r="R207" s="745"/>
      <c r="S207" s="751"/>
      <c r="T207" s="746"/>
      <c r="U207" s="435"/>
      <c r="V207" s="435"/>
      <c r="W207" s="434"/>
      <c r="X207" s="435"/>
      <c r="Y207" s="745"/>
      <c r="Z207" s="745"/>
      <c r="AA207" s="745"/>
      <c r="AB207" s="391"/>
      <c r="AC207" s="401"/>
      <c r="AD207" s="495"/>
      <c r="AE207" s="495"/>
      <c r="AF207" s="495"/>
      <c r="AG207" s="400"/>
      <c r="AH207" s="405"/>
      <c r="AI207" s="405"/>
      <c r="AJ207" s="405"/>
      <c r="AK207" s="405"/>
      <c r="AL207" s="405"/>
      <c r="AM207" s="405"/>
      <c r="AN207" s="405"/>
      <c r="AO207" s="405"/>
      <c r="AP207" s="258"/>
      <c r="AQ207" s="258"/>
      <c r="AR207" s="281"/>
      <c r="AS207" s="281"/>
      <c r="AT207" s="281"/>
      <c r="AU207" s="281"/>
      <c r="AV207" s="281"/>
      <c r="AW207" s="281"/>
      <c r="AX207" s="281"/>
      <c r="AY207" s="281"/>
      <c r="AZ207" s="281"/>
      <c r="BA207" s="281"/>
      <c r="BB207" s="281"/>
      <c r="BC207" s="281"/>
      <c r="BD207" s="281"/>
      <c r="BE207" s="281"/>
      <c r="BF207" s="281"/>
      <c r="BG207" s="281"/>
      <c r="BH207" s="281"/>
      <c r="BI207" s="281"/>
      <c r="BJ207" s="281"/>
      <c r="BK207" s="281"/>
      <c r="BL207" s="281"/>
      <c r="BM207" s="281"/>
      <c r="BN207" s="281"/>
      <c r="BO207" s="281"/>
      <c r="BP207" s="281"/>
      <c r="BQ207" s="281"/>
      <c r="BR207" s="281"/>
      <c r="BS207" s="281"/>
      <c r="BT207" s="281"/>
      <c r="BU207" s="281"/>
      <c r="BV207" s="281"/>
      <c r="BW207" s="281"/>
      <c r="BX207" s="281"/>
      <c r="BY207" s="281"/>
      <c r="BZ207" s="281"/>
    </row>
    <row r="208" spans="1:78" ht="12.75" customHeight="1" x14ac:dyDescent="0.2">
      <c r="A208" s="422">
        <v>66</v>
      </c>
      <c r="B208" s="716" t="str">
        <f>IF(Stammblatt!$L$4=1,'Kalkulation Herstellungskosten'!AP208,'Kalkulation Herstellungskosten'!AQ208)</f>
        <v>DarstellerInnen</v>
      </c>
      <c r="C208" s="715">
        <f>Darsteller!D55/5</f>
        <v>0</v>
      </c>
      <c r="D208" s="717" t="str">
        <f>IF(Stammblatt!$L$4=1,"Wochen","weeks")</f>
        <v>Wochen</v>
      </c>
      <c r="E208" s="424"/>
      <c r="F208" s="424"/>
      <c r="G208" s="561">
        <f>Darsteller!F55</f>
        <v>0</v>
      </c>
      <c r="H208" s="427"/>
      <c r="I208" s="428"/>
      <c r="J208" s="429"/>
      <c r="K208" s="427"/>
      <c r="L208" s="517">
        <f>G208-M208</f>
        <v>0</v>
      </c>
      <c r="M208" s="517">
        <f>SUMIF(Darsteller!N4:N53,"x",Darsteller!F4:F53)</f>
        <v>0</v>
      </c>
      <c r="N208" s="485"/>
      <c r="O208" s="749"/>
      <c r="P208" s="742"/>
      <c r="Q208" s="743"/>
      <c r="R208" s="741"/>
      <c r="S208" s="737"/>
      <c r="T208" s="743"/>
      <c r="U208" s="741"/>
      <c r="V208" s="779">
        <f>SUM(T208:U208)</f>
        <v>0</v>
      </c>
      <c r="W208" s="562">
        <f>G208-V208</f>
        <v>0</v>
      </c>
      <c r="X208" s="749"/>
      <c r="Y208" s="744"/>
      <c r="Z208" s="743"/>
      <c r="AA208" s="741"/>
      <c r="AB208" s="391"/>
      <c r="AC208" s="401"/>
      <c r="AD208" s="463">
        <f>Darsteller!R55</f>
        <v>0</v>
      </c>
      <c r="AE208" s="463">
        <f>Darsteller!S55</f>
        <v>0</v>
      </c>
      <c r="AF208" s="463">
        <f>Darsteller!T55</f>
        <v>0</v>
      </c>
      <c r="AG208" s="426">
        <f>SUM(G208,AD208:AF208)</f>
        <v>0</v>
      </c>
      <c r="AH208" s="405"/>
      <c r="AI208" s="405"/>
      <c r="AJ208" s="405"/>
      <c r="AK208" s="405"/>
      <c r="AL208" s="405"/>
      <c r="AM208" s="405"/>
      <c r="AN208" s="405"/>
      <c r="AO208" s="405"/>
      <c r="AP208" s="258" t="s">
        <v>651</v>
      </c>
      <c r="AQ208" s="258" t="s">
        <v>519</v>
      </c>
      <c r="AR208" s="281"/>
      <c r="AS208" s="281"/>
      <c r="AT208" s="281"/>
      <c r="AU208" s="281"/>
      <c r="AV208" s="281"/>
      <c r="AW208" s="281"/>
      <c r="AX208" s="281"/>
      <c r="AY208" s="281"/>
      <c r="AZ208" s="281"/>
      <c r="BA208" s="281"/>
      <c r="BB208" s="281"/>
      <c r="BC208" s="281"/>
      <c r="BD208" s="281"/>
      <c r="BE208" s="281"/>
      <c r="BF208" s="281"/>
      <c r="BG208" s="281"/>
      <c r="BH208" s="281"/>
      <c r="BI208" s="281"/>
      <c r="BJ208" s="281"/>
      <c r="BK208" s="281"/>
      <c r="BL208" s="281"/>
      <c r="BM208" s="281"/>
      <c r="BN208" s="281"/>
      <c r="BO208" s="281"/>
      <c r="BP208" s="281"/>
      <c r="BQ208" s="281"/>
      <c r="BR208" s="281"/>
      <c r="BS208" s="281"/>
      <c r="BT208" s="281"/>
      <c r="BU208" s="281"/>
      <c r="BV208" s="281"/>
      <c r="BW208" s="281"/>
      <c r="BX208" s="281"/>
      <c r="BY208" s="281"/>
      <c r="BZ208" s="281"/>
    </row>
    <row r="209" spans="1:78" ht="12.75" customHeight="1" x14ac:dyDescent="0.2">
      <c r="A209" s="422">
        <v>67</v>
      </c>
      <c r="B209" s="716" t="str">
        <f>IF(Stammblatt!$L$4=1,'Kalkulation Herstellungskosten'!AP209,'Kalkulation Herstellungskosten'!AQ209)</f>
        <v>MusikerInnen, Tänzer, Sänger</v>
      </c>
      <c r="C209" s="33">
        <v>0</v>
      </c>
      <c r="D209" s="717" t="str">
        <f>IF(Stammblatt!$L$4=1,"Wochen","weeks")</f>
        <v>Wochen</v>
      </c>
      <c r="E209" s="38">
        <v>0</v>
      </c>
      <c r="F209" s="482"/>
      <c r="G209" s="561">
        <f>C209*E209</f>
        <v>0</v>
      </c>
      <c r="H209" s="427"/>
      <c r="I209" s="428"/>
      <c r="J209" s="460"/>
      <c r="K209" s="461"/>
      <c r="L209" s="484"/>
      <c r="M209" s="484"/>
      <c r="N209" s="485"/>
      <c r="O209" s="749"/>
      <c r="P209" s="742"/>
      <c r="Q209" s="743"/>
      <c r="R209" s="741"/>
      <c r="S209" s="737"/>
      <c r="T209" s="743"/>
      <c r="U209" s="741"/>
      <c r="V209" s="779">
        <f>SUM(T209:U209)</f>
        <v>0</v>
      </c>
      <c r="W209" s="562">
        <f>G209-V209</f>
        <v>0</v>
      </c>
      <c r="X209" s="749"/>
      <c r="Y209" s="744"/>
      <c r="Z209" s="743"/>
      <c r="AA209" s="741"/>
      <c r="AB209" s="391"/>
      <c r="AC209" s="401"/>
      <c r="AD209" s="92"/>
      <c r="AE209" s="92"/>
      <c r="AF209" s="92"/>
      <c r="AG209" s="426">
        <f>SUM(G209,AD209:AF209)</f>
        <v>0</v>
      </c>
      <c r="AH209" s="405"/>
      <c r="AI209" s="405"/>
      <c r="AJ209" s="405"/>
      <c r="AK209" s="405"/>
      <c r="AL209" s="405"/>
      <c r="AM209" s="405"/>
      <c r="AN209" s="405"/>
      <c r="AO209" s="405"/>
      <c r="AP209" s="258" t="s">
        <v>653</v>
      </c>
      <c r="AQ209" s="258" t="s">
        <v>654</v>
      </c>
      <c r="AR209" s="281"/>
      <c r="AS209" s="281"/>
      <c r="AT209" s="281"/>
      <c r="AU209" s="281"/>
      <c r="AV209" s="281"/>
      <c r="AW209" s="281"/>
      <c r="AX209" s="281"/>
      <c r="AY209" s="281"/>
      <c r="AZ209" s="281"/>
      <c r="BA209" s="281"/>
      <c r="BB209" s="281"/>
      <c r="BC209" s="281"/>
      <c r="BD209" s="281"/>
      <c r="BE209" s="281"/>
      <c r="BF209" s="281"/>
      <c r="BG209" s="281"/>
      <c r="BH209" s="281"/>
      <c r="BI209" s="281"/>
      <c r="BJ209" s="281"/>
      <c r="BK209" s="281"/>
      <c r="BL209" s="281"/>
      <c r="BM209" s="281"/>
      <c r="BN209" s="281"/>
      <c r="BO209" s="281"/>
      <c r="BP209" s="281"/>
      <c r="BQ209" s="281"/>
      <c r="BR209" s="281"/>
      <c r="BS209" s="281"/>
      <c r="BT209" s="281"/>
      <c r="BU209" s="281"/>
      <c r="BV209" s="281"/>
      <c r="BW209" s="281"/>
      <c r="BX209" s="281"/>
      <c r="BY209" s="281"/>
      <c r="BZ209" s="281"/>
    </row>
    <row r="210" spans="1:78" ht="12.75" customHeight="1" x14ac:dyDescent="0.2">
      <c r="A210" s="398"/>
      <c r="B210" s="286"/>
      <c r="C210" s="399"/>
      <c r="D210" s="391"/>
      <c r="E210" s="399"/>
      <c r="F210" s="399"/>
      <c r="G210" s="400"/>
      <c r="H210" s="431"/>
      <c r="I210" s="394"/>
      <c r="J210" s="432"/>
      <c r="K210" s="431"/>
      <c r="L210" s="431"/>
      <c r="M210" s="431"/>
      <c r="N210" s="433"/>
      <c r="O210" s="745"/>
      <c r="P210" s="745"/>
      <c r="Q210" s="745"/>
      <c r="R210" s="745"/>
      <c r="S210" s="751"/>
      <c r="T210" s="746"/>
      <c r="U210" s="435"/>
      <c r="V210" s="435"/>
      <c r="W210" s="434"/>
      <c r="X210" s="435"/>
      <c r="Y210" s="745"/>
      <c r="Z210" s="745"/>
      <c r="AA210" s="745"/>
      <c r="AB210" s="391"/>
      <c r="AC210" s="401"/>
      <c r="AD210" s="426"/>
      <c r="AE210" s="426"/>
      <c r="AF210" s="426"/>
      <c r="AG210" s="426"/>
      <c r="AH210" s="405"/>
      <c r="AI210" s="405"/>
      <c r="AJ210" s="405"/>
      <c r="AK210" s="405"/>
      <c r="AL210" s="405"/>
      <c r="AM210" s="405"/>
      <c r="AN210" s="405"/>
      <c r="AO210" s="405"/>
      <c r="AP210" s="258"/>
      <c r="AQ210" s="258"/>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1"/>
      <c r="BZ210" s="281"/>
    </row>
    <row r="211" spans="1:78" ht="12.75" customHeight="1" x14ac:dyDescent="0.2">
      <c r="A211" s="486">
        <v>68</v>
      </c>
      <c r="B211" s="721" t="str">
        <f>IF(Stammblatt!$L$4=1,'Kalkulation Herstellungskosten'!AP211,'Kalkulation Herstellungskosten'!AQ211)</f>
        <v>Lohnnebenkosten (Dienstgeber)</v>
      </c>
      <c r="C211" s="499"/>
      <c r="D211" s="500"/>
      <c r="E211" s="499"/>
      <c r="F211" s="499"/>
      <c r="G211" s="495"/>
      <c r="H211" s="494"/>
      <c r="I211" s="505"/>
      <c r="J211" s="506"/>
      <c r="K211" s="494"/>
      <c r="L211" s="494"/>
      <c r="M211" s="494"/>
      <c r="N211" s="507"/>
      <c r="O211" s="759"/>
      <c r="P211" s="759"/>
      <c r="Q211" s="759"/>
      <c r="R211" s="759"/>
      <c r="S211" s="751"/>
      <c r="T211" s="760"/>
      <c r="U211" s="560"/>
      <c r="V211" s="560"/>
      <c r="W211" s="658"/>
      <c r="X211" s="560"/>
      <c r="Y211" s="759"/>
      <c r="Z211" s="759"/>
      <c r="AA211" s="759"/>
      <c r="AB211" s="391"/>
      <c r="AC211" s="401"/>
      <c r="AD211" s="495"/>
      <c r="AE211" s="495"/>
      <c r="AF211" s="495"/>
      <c r="AG211" s="508"/>
      <c r="AH211" s="405"/>
      <c r="AI211" s="405"/>
      <c r="AJ211" s="405"/>
      <c r="AK211" s="405"/>
      <c r="AL211" s="405"/>
      <c r="AM211" s="405"/>
      <c r="AN211" s="405"/>
      <c r="AO211" s="405"/>
      <c r="AP211" s="258" t="s">
        <v>655</v>
      </c>
      <c r="AQ211" s="258" t="s">
        <v>656</v>
      </c>
      <c r="AR211" s="281"/>
      <c r="AS211" s="281"/>
      <c r="AT211" s="281"/>
      <c r="AU211" s="281"/>
      <c r="AV211" s="281"/>
      <c r="AW211" s="281"/>
      <c r="AX211" s="281"/>
      <c r="AY211" s="281"/>
      <c r="AZ211" s="281"/>
      <c r="BA211" s="281"/>
      <c r="BB211" s="281"/>
      <c r="BC211" s="281"/>
      <c r="BD211" s="281"/>
      <c r="BE211" s="281"/>
      <c r="BF211" s="281"/>
      <c r="BG211" s="281"/>
      <c r="BH211" s="281"/>
      <c r="BI211" s="281"/>
      <c r="BJ211" s="281"/>
      <c r="BK211" s="281"/>
      <c r="BL211" s="281"/>
      <c r="BM211" s="281"/>
      <c r="BN211" s="281"/>
      <c r="BO211" s="281"/>
      <c r="BP211" s="281"/>
      <c r="BQ211" s="281"/>
      <c r="BR211" s="281"/>
      <c r="BS211" s="281"/>
      <c r="BT211" s="281"/>
      <c r="BU211" s="281"/>
      <c r="BV211" s="281"/>
      <c r="BW211" s="281"/>
      <c r="BX211" s="281"/>
      <c r="BY211" s="281"/>
      <c r="BZ211" s="281"/>
    </row>
    <row r="212" spans="1:78" ht="12.75" customHeight="1" x14ac:dyDescent="0.2">
      <c r="A212" s="398"/>
      <c r="B212" s="501" t="str">
        <f>IF(Stammblatt!$L$4=1,'Kalkulation Herstellungskosten'!AP212,'Kalkulation Herstellungskosten'!AQ212)</f>
        <v>DG SV-Beitrag</v>
      </c>
      <c r="C212" s="399"/>
      <c r="D212" s="391"/>
      <c r="E212" s="514">
        <f>SUM(Stab_Ö_Lohnnebenkosten!M131:P131)+SUM(Darsteller!G55:H55)</f>
        <v>0</v>
      </c>
      <c r="F212" s="400"/>
      <c r="G212" s="400"/>
      <c r="H212" s="431"/>
      <c r="I212" s="394"/>
      <c r="J212" s="432"/>
      <c r="K212" s="431"/>
      <c r="L212" s="431"/>
      <c r="M212" s="431"/>
      <c r="N212" s="433"/>
      <c r="O212" s="749"/>
      <c r="P212" s="742"/>
      <c r="Q212" s="743"/>
      <c r="R212" s="741"/>
      <c r="S212" s="751"/>
      <c r="T212" s="761"/>
      <c r="U212" s="762"/>
      <c r="V212" s="435">
        <f t="shared" ref="V212:V217" si="100">SUM(T212:U212)</f>
        <v>0</v>
      </c>
      <c r="W212" s="434">
        <f t="shared" ref="W212:W217" si="101">E212-V212</f>
        <v>0</v>
      </c>
      <c r="X212" s="749"/>
      <c r="Y212" s="744"/>
      <c r="Z212" s="743"/>
      <c r="AA212" s="741"/>
      <c r="AB212" s="391"/>
      <c r="AC212" s="401"/>
      <c r="AD212" s="400"/>
      <c r="AE212" s="400"/>
      <c r="AF212" s="400"/>
      <c r="AG212" s="281"/>
      <c r="AH212" s="405"/>
      <c r="AI212" s="405"/>
      <c r="AJ212" s="405"/>
      <c r="AK212" s="405"/>
      <c r="AL212" s="405"/>
      <c r="AM212" s="405"/>
      <c r="AN212" s="405"/>
      <c r="AO212" s="405"/>
      <c r="AP212" s="258" t="s">
        <v>173</v>
      </c>
      <c r="AQ212" s="258" t="s">
        <v>363</v>
      </c>
      <c r="AR212" s="281"/>
      <c r="AS212" s="281"/>
      <c r="AT212" s="281"/>
      <c r="AU212" s="281"/>
      <c r="AV212" s="281"/>
      <c r="AW212" s="281"/>
      <c r="AX212" s="281"/>
      <c r="AY212" s="281"/>
      <c r="AZ212" s="281"/>
      <c r="BA212" s="281"/>
      <c r="BB212" s="281"/>
      <c r="BC212" s="281"/>
      <c r="BD212" s="281"/>
      <c r="BE212" s="281"/>
      <c r="BF212" s="281"/>
      <c r="BG212" s="281"/>
      <c r="BH212" s="281"/>
      <c r="BI212" s="281"/>
      <c r="BJ212" s="281"/>
      <c r="BK212" s="281"/>
      <c r="BL212" s="281"/>
      <c r="BM212" s="281"/>
      <c r="BN212" s="281"/>
      <c r="BO212" s="281"/>
      <c r="BP212" s="281"/>
      <c r="BQ212" s="281"/>
      <c r="BR212" s="281"/>
      <c r="BS212" s="281"/>
      <c r="BT212" s="281"/>
      <c r="BU212" s="281"/>
      <c r="BV212" s="281"/>
      <c r="BW212" s="281"/>
      <c r="BX212" s="281"/>
      <c r="BY212" s="281"/>
      <c r="BZ212" s="281"/>
    </row>
    <row r="213" spans="1:78" ht="12.75" customHeight="1" x14ac:dyDescent="0.2">
      <c r="A213" s="398"/>
      <c r="B213" s="501" t="str">
        <f>IF(Stammblatt!$L$4=1,'Kalkulation Herstellungskosten'!AP213,'Kalkulation Herstellungskosten'!AQ213)</f>
        <v>MV-Beitrag</v>
      </c>
      <c r="C213" s="399"/>
      <c r="D213" s="391"/>
      <c r="E213" s="514">
        <f>Stab_Ö_Lohnnebenkosten!Q131</f>
        <v>0</v>
      </c>
      <c r="F213" s="400"/>
      <c r="G213" s="400"/>
      <c r="H213" s="431"/>
      <c r="I213" s="394"/>
      <c r="J213" s="432"/>
      <c r="K213" s="431"/>
      <c r="L213" s="431"/>
      <c r="M213" s="431"/>
      <c r="N213" s="433"/>
      <c r="O213" s="749"/>
      <c r="P213" s="742"/>
      <c r="Q213" s="743"/>
      <c r="R213" s="741"/>
      <c r="S213" s="751"/>
      <c r="T213" s="761"/>
      <c r="U213" s="762"/>
      <c r="V213" s="435">
        <f t="shared" si="100"/>
        <v>0</v>
      </c>
      <c r="W213" s="434">
        <f t="shared" si="101"/>
        <v>0</v>
      </c>
      <c r="X213" s="749"/>
      <c r="Y213" s="744"/>
      <c r="Z213" s="743"/>
      <c r="AA213" s="741"/>
      <c r="AB213" s="391"/>
      <c r="AC213" s="401"/>
      <c r="AD213" s="400"/>
      <c r="AE213" s="400"/>
      <c r="AF213" s="400"/>
      <c r="AG213" s="281"/>
      <c r="AH213" s="405"/>
      <c r="AI213" s="405"/>
      <c r="AJ213" s="405"/>
      <c r="AK213" s="405"/>
      <c r="AL213" s="405"/>
      <c r="AM213" s="405"/>
      <c r="AN213" s="405"/>
      <c r="AO213" s="405"/>
      <c r="AP213" s="258" t="s">
        <v>174</v>
      </c>
      <c r="AQ213" s="258" t="s">
        <v>364</v>
      </c>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row>
    <row r="214" spans="1:78" ht="12.75" customHeight="1" x14ac:dyDescent="0.2">
      <c r="A214" s="398"/>
      <c r="B214" s="501" t="str">
        <f>IF(Stammblatt!$L$4=1,'Kalkulation Herstellungskosten'!AP214,'Kalkulation Herstellungskosten'!AQ214)</f>
        <v>DB</v>
      </c>
      <c r="C214" s="399"/>
      <c r="D214" s="391"/>
      <c r="E214" s="514">
        <f>Stab_Ö_Lohnnebenkosten!R131+Darsteller!I55</f>
        <v>0</v>
      </c>
      <c r="F214" s="400"/>
      <c r="G214" s="400"/>
      <c r="H214" s="431"/>
      <c r="I214" s="394"/>
      <c r="J214" s="432"/>
      <c r="K214" s="431"/>
      <c r="L214" s="431"/>
      <c r="M214" s="431"/>
      <c r="N214" s="433"/>
      <c r="O214" s="749"/>
      <c r="P214" s="742"/>
      <c r="Q214" s="743"/>
      <c r="R214" s="741"/>
      <c r="S214" s="751"/>
      <c r="T214" s="761"/>
      <c r="U214" s="762"/>
      <c r="V214" s="435">
        <f t="shared" si="100"/>
        <v>0</v>
      </c>
      <c r="W214" s="434">
        <f t="shared" si="101"/>
        <v>0</v>
      </c>
      <c r="X214" s="749"/>
      <c r="Y214" s="744"/>
      <c r="Z214" s="743"/>
      <c r="AA214" s="741"/>
      <c r="AB214" s="391"/>
      <c r="AC214" s="401"/>
      <c r="AD214" s="400"/>
      <c r="AE214" s="400"/>
      <c r="AF214" s="400"/>
      <c r="AG214" s="281"/>
      <c r="AH214" s="405"/>
      <c r="AI214" s="405"/>
      <c r="AJ214" s="405"/>
      <c r="AK214" s="405"/>
      <c r="AL214" s="405"/>
      <c r="AM214" s="405"/>
      <c r="AN214" s="405"/>
      <c r="AO214" s="405"/>
      <c r="AP214" s="258" t="s">
        <v>132</v>
      </c>
      <c r="AQ214" s="258" t="s">
        <v>132</v>
      </c>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row>
    <row r="215" spans="1:78" ht="12.75" customHeight="1" x14ac:dyDescent="0.2">
      <c r="A215" s="398"/>
      <c r="B215" s="501" t="str">
        <f>IF(Stammblatt!$L$4=1,'Kalkulation Herstellungskosten'!AP215,'Kalkulation Herstellungskosten'!AQ215)</f>
        <v>DZ</v>
      </c>
      <c r="C215" s="399"/>
      <c r="D215" s="391"/>
      <c r="E215" s="514">
        <f>Stab_Ö_Lohnnebenkosten!S131+Darsteller!J55</f>
        <v>0</v>
      </c>
      <c r="F215" s="400"/>
      <c r="G215" s="400"/>
      <c r="H215" s="431"/>
      <c r="I215" s="394"/>
      <c r="J215" s="432"/>
      <c r="K215" s="431"/>
      <c r="L215" s="431"/>
      <c r="M215" s="431"/>
      <c r="N215" s="433"/>
      <c r="O215" s="749"/>
      <c r="P215" s="742"/>
      <c r="Q215" s="743"/>
      <c r="R215" s="741"/>
      <c r="S215" s="751"/>
      <c r="T215" s="761"/>
      <c r="U215" s="762"/>
      <c r="V215" s="435">
        <f t="shared" si="100"/>
        <v>0</v>
      </c>
      <c r="W215" s="434">
        <f t="shared" si="101"/>
        <v>0</v>
      </c>
      <c r="X215" s="749"/>
      <c r="Y215" s="744"/>
      <c r="Z215" s="743"/>
      <c r="AA215" s="741"/>
      <c r="AB215" s="391"/>
      <c r="AC215" s="401"/>
      <c r="AD215" s="400"/>
      <c r="AE215" s="400"/>
      <c r="AF215" s="400"/>
      <c r="AG215" s="281"/>
      <c r="AH215" s="405"/>
      <c r="AI215" s="405"/>
      <c r="AJ215" s="405"/>
      <c r="AK215" s="405"/>
      <c r="AL215" s="405"/>
      <c r="AM215" s="405"/>
      <c r="AN215" s="405"/>
      <c r="AO215" s="405"/>
      <c r="AP215" s="258" t="s">
        <v>133</v>
      </c>
      <c r="AQ215" s="258" t="s">
        <v>133</v>
      </c>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row>
    <row r="216" spans="1:78" ht="12.75" customHeight="1" x14ac:dyDescent="0.2">
      <c r="A216" s="398"/>
      <c r="B216" s="501" t="str">
        <f>IF(Stammblatt!$L$4=1,'Kalkulation Herstellungskosten'!AP216,'Kalkulation Herstellungskosten'!AQ216)</f>
        <v>Kommunalsteuer</v>
      </c>
      <c r="C216" s="399"/>
      <c r="D216" s="391"/>
      <c r="E216" s="514">
        <f>Stab_Ö_Lohnnebenkosten!T131+Darsteller!K55</f>
        <v>0</v>
      </c>
      <c r="F216" s="400"/>
      <c r="G216" s="400"/>
      <c r="H216" s="431"/>
      <c r="I216" s="394"/>
      <c r="J216" s="432"/>
      <c r="K216" s="431"/>
      <c r="L216" s="431"/>
      <c r="M216" s="431"/>
      <c r="N216" s="433"/>
      <c r="O216" s="749"/>
      <c r="P216" s="742"/>
      <c r="Q216" s="743"/>
      <c r="R216" s="741"/>
      <c r="S216" s="751"/>
      <c r="T216" s="761"/>
      <c r="U216" s="762"/>
      <c r="V216" s="435">
        <f t="shared" si="100"/>
        <v>0</v>
      </c>
      <c r="W216" s="434">
        <f t="shared" si="101"/>
        <v>0</v>
      </c>
      <c r="X216" s="749"/>
      <c r="Y216" s="744"/>
      <c r="Z216" s="743"/>
      <c r="AA216" s="741"/>
      <c r="AB216" s="391"/>
      <c r="AC216" s="401"/>
      <c r="AD216" s="400"/>
      <c r="AE216" s="400"/>
      <c r="AF216" s="400"/>
      <c r="AG216" s="281"/>
      <c r="AH216" s="405"/>
      <c r="AI216" s="405"/>
      <c r="AJ216" s="405"/>
      <c r="AK216" s="405"/>
      <c r="AL216" s="405"/>
      <c r="AM216" s="405"/>
      <c r="AN216" s="405"/>
      <c r="AO216" s="405"/>
      <c r="AP216" s="258" t="s">
        <v>47</v>
      </c>
      <c r="AQ216" s="258" t="s">
        <v>365</v>
      </c>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row>
    <row r="217" spans="1:78" ht="12.75" customHeight="1" x14ac:dyDescent="0.2">
      <c r="A217" s="398"/>
      <c r="B217" s="501" t="str">
        <f>IF(Stammblatt!$L$4=1,'Kalkulation Herstellungskosten'!AP217,'Kalkulation Herstellungskosten'!AQ217)</f>
        <v>U-Bahn Abgabe</v>
      </c>
      <c r="C217" s="399"/>
      <c r="D217" s="391"/>
      <c r="E217" s="514">
        <f>Stab_Ö_Lohnnebenkosten!U131+Darsteller!L55</f>
        <v>0</v>
      </c>
      <c r="F217" s="400"/>
      <c r="G217" s="400"/>
      <c r="H217" s="431"/>
      <c r="I217" s="394"/>
      <c r="J217" s="432"/>
      <c r="K217" s="431"/>
      <c r="L217" s="431"/>
      <c r="M217" s="431"/>
      <c r="N217" s="433"/>
      <c r="O217" s="749"/>
      <c r="P217" s="742"/>
      <c r="Q217" s="743"/>
      <c r="R217" s="741"/>
      <c r="S217" s="751"/>
      <c r="T217" s="763"/>
      <c r="U217" s="764"/>
      <c r="V217" s="765">
        <f t="shared" si="100"/>
        <v>0</v>
      </c>
      <c r="W217" s="659">
        <f t="shared" si="101"/>
        <v>0</v>
      </c>
      <c r="X217" s="749"/>
      <c r="Y217" s="744"/>
      <c r="Z217" s="743"/>
      <c r="AA217" s="741"/>
      <c r="AB217" s="391"/>
      <c r="AC217" s="401"/>
      <c r="AD217" s="400"/>
      <c r="AE217" s="400"/>
      <c r="AF217" s="400"/>
      <c r="AG217" s="281"/>
      <c r="AH217" s="405"/>
      <c r="AI217" s="405"/>
      <c r="AJ217" s="405"/>
      <c r="AK217" s="405"/>
      <c r="AL217" s="405"/>
      <c r="AM217" s="405"/>
      <c r="AN217" s="405"/>
      <c r="AO217" s="405"/>
      <c r="AP217" s="258" t="s">
        <v>175</v>
      </c>
      <c r="AQ217" s="258" t="s">
        <v>366</v>
      </c>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row>
    <row r="218" spans="1:78" ht="12.75" customHeight="1" x14ac:dyDescent="0.2">
      <c r="A218" s="469"/>
      <c r="B218" s="727" t="str">
        <f>IF(Stammblatt!$L$4=1,'Kalkulation Herstellungskosten'!AP218,'Kalkulation Herstellungskosten'!AQ218)</f>
        <v>Σ-Lohnnebenkosten</v>
      </c>
      <c r="C218" s="470"/>
      <c r="D218" s="471"/>
      <c r="E218" s="472"/>
      <c r="F218" s="472"/>
      <c r="G218" s="515">
        <f>SUM(E212:E217)</f>
        <v>0</v>
      </c>
      <c r="H218" s="431"/>
      <c r="I218" s="431"/>
      <c r="J218" s="432"/>
      <c r="K218" s="431"/>
      <c r="L218" s="431"/>
      <c r="M218" s="431"/>
      <c r="N218" s="433"/>
      <c r="O218" s="985">
        <f>SUM(O212:O217)</f>
        <v>0</v>
      </c>
      <c r="P218" s="984">
        <f>SUM(P212:P217)</f>
        <v>0</v>
      </c>
      <c r="Q218" s="1070">
        <f t="shared" ref="Q218:R218" si="102">SUM(Q212:Q217)</f>
        <v>0</v>
      </c>
      <c r="R218" s="1070">
        <f t="shared" si="102"/>
        <v>0</v>
      </c>
      <c r="S218" s="751"/>
      <c r="T218" s="766">
        <f>SUM(T212:T217)</f>
        <v>0</v>
      </c>
      <c r="U218" s="767">
        <f>SUM(U212:U217)</f>
        <v>0</v>
      </c>
      <c r="V218" s="768">
        <f>SUM(T218:U218)</f>
        <v>0</v>
      </c>
      <c r="W218" s="477">
        <f>G218-V218</f>
        <v>0</v>
      </c>
      <c r="X218" s="985">
        <f>SUM(X212:X217)</f>
        <v>0</v>
      </c>
      <c r="Y218" s="984">
        <f>SUM(Y212:Y217)</f>
        <v>0</v>
      </c>
      <c r="Z218" s="766">
        <f t="shared" ref="Z218:AA218" si="103">SUM(Z212:Z217)</f>
        <v>0</v>
      </c>
      <c r="AA218" s="766">
        <f t="shared" si="103"/>
        <v>0</v>
      </c>
      <c r="AB218" s="391"/>
      <c r="AC218" s="401"/>
      <c r="AD218" s="103"/>
      <c r="AE218" s="103"/>
      <c r="AF218" s="103"/>
      <c r="AG218" s="515">
        <f>SUM(G218,AD218:AF218)</f>
        <v>0</v>
      </c>
      <c r="AH218" s="405"/>
      <c r="AI218" s="405"/>
      <c r="AJ218" s="405"/>
      <c r="AK218" s="405"/>
      <c r="AL218" s="405"/>
      <c r="AM218" s="405"/>
      <c r="AN218" s="405"/>
      <c r="AO218" s="405"/>
      <c r="AP218" s="258" t="s">
        <v>236</v>
      </c>
      <c r="AQ218" s="258" t="s">
        <v>486</v>
      </c>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c r="BM218" s="281"/>
      <c r="BN218" s="281"/>
      <c r="BO218" s="281"/>
      <c r="BP218" s="281"/>
      <c r="BQ218" s="281"/>
      <c r="BR218" s="281"/>
      <c r="BS218" s="281"/>
      <c r="BT218" s="281"/>
      <c r="BU218" s="281"/>
      <c r="BV218" s="281"/>
      <c r="BW218" s="281"/>
      <c r="BX218" s="281"/>
      <c r="BY218" s="281"/>
      <c r="BZ218" s="281"/>
    </row>
    <row r="219" spans="1:78" ht="12.75" customHeight="1" x14ac:dyDescent="0.2">
      <c r="A219" s="398"/>
      <c r="B219" s="728">
        <f>IF(Stammblatt!$L$4=1,'Kalkulation Herstellungskosten'!AP219,'Kalkulation Herstellungskosten'!AQ219)</f>
        <v>0</v>
      </c>
      <c r="C219" s="399"/>
      <c r="D219" s="391"/>
      <c r="E219" s="400"/>
      <c r="F219" s="400"/>
      <c r="G219" s="400"/>
      <c r="H219" s="431"/>
      <c r="I219" s="394"/>
      <c r="J219" s="432"/>
      <c r="K219" s="431"/>
      <c r="L219" s="431"/>
      <c r="M219" s="431"/>
      <c r="N219" s="433"/>
      <c r="O219" s="745"/>
      <c r="P219" s="745"/>
      <c r="Q219" s="745"/>
      <c r="R219" s="745"/>
      <c r="S219" s="751"/>
      <c r="T219" s="746"/>
      <c r="U219" s="435"/>
      <c r="V219" s="435"/>
      <c r="W219" s="434"/>
      <c r="X219" s="435"/>
      <c r="Y219" s="745"/>
      <c r="Z219" s="745"/>
      <c r="AA219" s="745"/>
      <c r="AB219" s="391"/>
      <c r="AC219" s="401"/>
      <c r="AD219" s="509"/>
      <c r="AE219" s="509"/>
      <c r="AF219" s="509"/>
      <c r="AG219" s="508"/>
      <c r="AH219" s="405"/>
      <c r="AI219" s="405"/>
      <c r="AJ219" s="405"/>
      <c r="AK219" s="405"/>
      <c r="AL219" s="405"/>
      <c r="AM219" s="405"/>
      <c r="AN219" s="405"/>
      <c r="AO219" s="405"/>
      <c r="AP219" s="258"/>
      <c r="AQ219" s="258"/>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row>
    <row r="220" spans="1:78" ht="12.75" customHeight="1" x14ac:dyDescent="0.2">
      <c r="A220" s="478">
        <v>69</v>
      </c>
      <c r="B220" s="729" t="str">
        <f>IF(Stammblatt!$L$4=1,'Kalkulation Herstellungskosten'!AP220,'Kalkulation Herstellungskosten'!AQ220)</f>
        <v>Reserve für Überstunden-, Sonn- und</v>
      </c>
      <c r="C220" s="502"/>
      <c r="D220" s="503"/>
      <c r="E220" s="482"/>
      <c r="F220" s="482"/>
      <c r="G220" s="482"/>
      <c r="H220" s="461"/>
      <c r="I220" s="468"/>
      <c r="J220" s="460"/>
      <c r="K220" s="461"/>
      <c r="L220" s="461"/>
      <c r="M220" s="461"/>
      <c r="N220" s="462"/>
      <c r="O220" s="769"/>
      <c r="P220" s="769"/>
      <c r="Q220" s="769"/>
      <c r="R220" s="769"/>
      <c r="S220" s="751"/>
      <c r="T220" s="770"/>
      <c r="U220" s="563"/>
      <c r="V220" s="563"/>
      <c r="W220" s="659"/>
      <c r="X220" s="563"/>
      <c r="Y220" s="769"/>
      <c r="Z220" s="745"/>
      <c r="AA220" s="745"/>
      <c r="AB220" s="391"/>
      <c r="AC220" s="401"/>
      <c r="AD220" s="510"/>
      <c r="AE220" s="510"/>
      <c r="AF220" s="510"/>
      <c r="AG220" s="511"/>
      <c r="AH220" s="405"/>
      <c r="AI220" s="405"/>
      <c r="AJ220" s="405"/>
      <c r="AK220" s="405"/>
      <c r="AL220" s="405"/>
      <c r="AM220" s="405"/>
      <c r="AN220" s="405"/>
      <c r="AO220" s="405"/>
      <c r="AP220" s="258" t="s">
        <v>48</v>
      </c>
      <c r="AQ220" s="258" t="s">
        <v>367</v>
      </c>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c r="BM220" s="281"/>
      <c r="BN220" s="281"/>
      <c r="BO220" s="281"/>
      <c r="BP220" s="281"/>
      <c r="BQ220" s="281"/>
      <c r="BR220" s="281"/>
      <c r="BS220" s="281"/>
      <c r="BT220" s="281"/>
      <c r="BU220" s="281"/>
      <c r="BV220" s="281"/>
      <c r="BW220" s="281"/>
      <c r="BX220" s="281"/>
      <c r="BY220" s="281"/>
      <c r="BZ220" s="281"/>
    </row>
    <row r="221" spans="1:78" ht="12.75" customHeight="1" x14ac:dyDescent="0.2">
      <c r="A221" s="422"/>
      <c r="B221" s="716" t="str">
        <f>IF(Stammblatt!$L$4=1,'Kalkulation Herstellungskosten'!AP221,'Kalkulation Herstellungskosten'!AQ221)</f>
        <v>Feiertagsabgeltung</v>
      </c>
      <c r="C221" s="424"/>
      <c r="D221" s="425"/>
      <c r="E221" s="426"/>
      <c r="F221" s="426"/>
      <c r="G221" s="37">
        <v>0</v>
      </c>
      <c r="H221" s="427"/>
      <c r="I221" s="428"/>
      <c r="J221" s="460"/>
      <c r="K221" s="461"/>
      <c r="L221" s="461"/>
      <c r="M221" s="461"/>
      <c r="N221" s="462"/>
      <c r="O221" s="749"/>
      <c r="P221" s="742"/>
      <c r="Q221" s="743"/>
      <c r="R221" s="741"/>
      <c r="S221" s="751"/>
      <c r="T221" s="758"/>
      <c r="U221" s="741"/>
      <c r="V221" s="808">
        <f>SUM(T221:U221)</f>
        <v>0</v>
      </c>
      <c r="W221" s="562">
        <f>G221-V221</f>
        <v>0</v>
      </c>
      <c r="X221" s="749"/>
      <c r="Y221" s="744"/>
      <c r="Z221" s="743"/>
      <c r="AA221" s="741"/>
      <c r="AB221" s="391"/>
      <c r="AC221" s="401"/>
      <c r="AD221" s="92"/>
      <c r="AE221" s="92"/>
      <c r="AF221" s="92"/>
      <c r="AG221" s="561">
        <f>SUM(G221,AD221:AF221)</f>
        <v>0</v>
      </c>
      <c r="AH221" s="405"/>
      <c r="AI221" s="405"/>
      <c r="AJ221" s="405"/>
      <c r="AK221" s="405"/>
      <c r="AL221" s="405"/>
      <c r="AM221" s="405"/>
      <c r="AN221" s="405"/>
      <c r="AO221" s="405"/>
      <c r="AP221" s="258" t="s">
        <v>49</v>
      </c>
      <c r="AQ221" s="258"/>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row>
    <row r="222" spans="1:78" ht="12.75" customHeight="1" x14ac:dyDescent="0.2">
      <c r="A222" s="422">
        <v>70</v>
      </c>
      <c r="B222" s="716" t="str">
        <f>IF(Stammblatt!$L$4=1,'Kalkulation Herstellungskosten'!AP222,'Kalkulation Herstellungskosten'!AQ222)</f>
        <v>Statisten *)</v>
      </c>
      <c r="C222" s="715">
        <f>Darsteller!D62</f>
        <v>0</v>
      </c>
      <c r="D222" s="717" t="str">
        <f>IF(Stammblatt!$L$4=1,"Einsätze","units")</f>
        <v>Einsätze</v>
      </c>
      <c r="E222" s="426"/>
      <c r="F222" s="426"/>
      <c r="G222" s="561">
        <f>Darsteller!F62</f>
        <v>0</v>
      </c>
      <c r="H222" s="427"/>
      <c r="I222" s="428"/>
      <c r="J222" s="460"/>
      <c r="K222" s="461"/>
      <c r="L222" s="461"/>
      <c r="M222" s="461"/>
      <c r="N222" s="462"/>
      <c r="O222" s="749"/>
      <c r="P222" s="742"/>
      <c r="Q222" s="743"/>
      <c r="R222" s="741"/>
      <c r="S222" s="751"/>
      <c r="T222" s="758"/>
      <c r="U222" s="741"/>
      <c r="V222" s="808">
        <f>SUM(T222:U222)</f>
        <v>0</v>
      </c>
      <c r="W222" s="562">
        <f>G222-V222</f>
        <v>0</v>
      </c>
      <c r="X222" s="749"/>
      <c r="Y222" s="744"/>
      <c r="Z222" s="743"/>
      <c r="AA222" s="741"/>
      <c r="AB222" s="391"/>
      <c r="AC222" s="401"/>
      <c r="AD222" s="906">
        <f>Darsteller!R62</f>
        <v>0</v>
      </c>
      <c r="AE222" s="463">
        <f>Darsteller!S62</f>
        <v>0</v>
      </c>
      <c r="AF222" s="463">
        <f>Darsteller!T62</f>
        <v>0</v>
      </c>
      <c r="AG222" s="561">
        <f>SUM(G222,AD222:AF222)</f>
        <v>0</v>
      </c>
      <c r="AH222" s="405"/>
      <c r="AI222" s="405"/>
      <c r="AJ222" s="405"/>
      <c r="AK222" s="405"/>
      <c r="AL222" s="405"/>
      <c r="AM222" s="405"/>
      <c r="AN222" s="405"/>
      <c r="AO222" s="405"/>
      <c r="AP222" s="258" t="s">
        <v>50</v>
      </c>
      <c r="AQ222" s="258" t="s">
        <v>368</v>
      </c>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row>
    <row r="223" spans="1:78" ht="12.75" customHeight="1" x14ac:dyDescent="0.2">
      <c r="A223" s="486"/>
      <c r="B223" s="721"/>
      <c r="C223" s="499"/>
      <c r="D223" s="500"/>
      <c r="E223" s="495"/>
      <c r="F223" s="495"/>
      <c r="G223" s="495"/>
      <c r="H223" s="494"/>
      <c r="I223" s="505"/>
      <c r="J223" s="506"/>
      <c r="K223" s="494"/>
      <c r="L223" s="494"/>
      <c r="M223" s="494"/>
      <c r="N223" s="507"/>
      <c r="O223" s="759"/>
      <c r="P223" s="745"/>
      <c r="Q223" s="745"/>
      <c r="R223" s="745"/>
      <c r="S223" s="751"/>
      <c r="T223" s="746"/>
      <c r="U223" s="435"/>
      <c r="V223" s="809"/>
      <c r="W223" s="809"/>
      <c r="X223" s="759"/>
      <c r="Y223" s="759"/>
      <c r="Z223" s="745"/>
      <c r="AA223" s="745"/>
      <c r="AB223" s="391"/>
      <c r="AC223" s="401"/>
      <c r="AD223" s="495"/>
      <c r="AE223" s="495"/>
      <c r="AF223" s="495"/>
      <c r="AG223" s="495"/>
      <c r="AH223" s="405"/>
      <c r="AI223" s="405"/>
      <c r="AJ223" s="405"/>
      <c r="AK223" s="405"/>
      <c r="AL223" s="405"/>
      <c r="AM223" s="405"/>
      <c r="AN223" s="405"/>
      <c r="AO223" s="405"/>
      <c r="AP223" s="258"/>
      <c r="AQ223" s="258"/>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row>
    <row r="224" spans="1:78" x14ac:dyDescent="0.2">
      <c r="A224" s="504"/>
      <c r="B224" s="730" t="str">
        <f>IF(Stammblatt!$L$4=1,'Kalkulation Herstellungskosten'!AP224,'Kalkulation Herstellungskosten'!AQ224)</f>
        <v>HONORARE</v>
      </c>
      <c r="C224" s="296"/>
      <c r="D224" s="296"/>
      <c r="E224" s="296"/>
      <c r="F224" s="296"/>
      <c r="G224" s="296"/>
      <c r="H224" s="431"/>
      <c r="I224" s="394"/>
      <c r="J224" s="432"/>
      <c r="K224" s="431"/>
      <c r="L224" s="431"/>
      <c r="M224" s="431"/>
      <c r="N224" s="433"/>
      <c r="O224" s="745"/>
      <c r="P224" s="745"/>
      <c r="Q224" s="745"/>
      <c r="R224" s="745"/>
      <c r="S224" s="751"/>
      <c r="T224" s="746"/>
      <c r="U224" s="435"/>
      <c r="V224" s="809"/>
      <c r="W224" s="809"/>
      <c r="X224" s="745"/>
      <c r="Y224" s="745"/>
      <c r="Z224" s="745"/>
      <c r="AA224" s="745"/>
      <c r="AB224" s="391"/>
      <c r="AC224" s="401"/>
      <c r="AD224" s="482"/>
      <c r="AE224" s="482"/>
      <c r="AF224" s="482"/>
      <c r="AG224" s="400"/>
      <c r="AH224" s="405"/>
      <c r="AI224" s="405"/>
      <c r="AJ224" s="405"/>
      <c r="AK224" s="405"/>
      <c r="AL224" s="405"/>
      <c r="AM224" s="405"/>
      <c r="AN224" s="405"/>
      <c r="AO224" s="405"/>
      <c r="AP224" s="258" t="s">
        <v>493</v>
      </c>
      <c r="AQ224" s="258" t="s">
        <v>494</v>
      </c>
      <c r="AR224" s="281"/>
      <c r="AS224" s="281"/>
      <c r="AT224" s="281"/>
      <c r="AU224" s="281"/>
      <c r="AV224" s="281"/>
      <c r="AW224" s="281"/>
      <c r="AX224" s="281"/>
      <c r="AY224" s="281"/>
      <c r="AZ224" s="281"/>
      <c r="BA224" s="281"/>
      <c r="BB224" s="281"/>
      <c r="BC224" s="281"/>
      <c r="BD224" s="281"/>
      <c r="BE224" s="281"/>
      <c r="BF224" s="281"/>
      <c r="BG224" s="281"/>
      <c r="BH224" s="281"/>
      <c r="BI224" s="281"/>
      <c r="BJ224" s="281"/>
      <c r="BK224" s="281"/>
      <c r="BL224" s="281"/>
      <c r="BM224" s="281"/>
      <c r="BN224" s="281"/>
      <c r="BO224" s="281"/>
      <c r="BP224" s="281"/>
      <c r="BQ224" s="281"/>
      <c r="BR224" s="281"/>
      <c r="BS224" s="281"/>
      <c r="BT224" s="281"/>
      <c r="BU224" s="281"/>
      <c r="BV224" s="281"/>
      <c r="BW224" s="281"/>
      <c r="BX224" s="281"/>
      <c r="BY224" s="281"/>
      <c r="BZ224" s="281"/>
    </row>
    <row r="225" spans="1:78" ht="12.75" customHeight="1" x14ac:dyDescent="0.2">
      <c r="A225" s="422">
        <v>71</v>
      </c>
      <c r="B225" s="716" t="str">
        <f>IF(Stammblatt!$L$4=1,'Kalkulation Herstellungskosten'!AP225,'Kalkulation Herstellungskosten'!AQ225)</f>
        <v>ProduzentInnenhonorar (gem. Richtlinien)</v>
      </c>
      <c r="C225" s="481"/>
      <c r="D225" s="1047" t="e">
        <f ca="1">IF(Stammblatt!I10=TRUE,'Kalkulation Herstellungskosten'!E225/GHSTK,E225/NFK)</f>
        <v>#DIV/0!</v>
      </c>
      <c r="E225" s="561">
        <f ca="1">IF(Stammblatt!I10=TRUE,ROUND(GHSTK*5%,-1),PH)</f>
        <v>0</v>
      </c>
      <c r="F225" s="426"/>
      <c r="G225" s="496"/>
      <c r="H225" s="497"/>
      <c r="I225" s="483"/>
      <c r="J225" s="822"/>
      <c r="K225" s="822"/>
      <c r="L225" s="711">
        <f t="shared" ref="L225" si="104">G225*J225</f>
        <v>0</v>
      </c>
      <c r="M225" s="711">
        <f t="shared" ref="M225" si="105">G225*K225</f>
        <v>0</v>
      </c>
      <c r="N225" s="485" t="str">
        <f t="shared" ref="N225" si="106">IF((L225+M225)&gt;G225,"?","")</f>
        <v/>
      </c>
      <c r="O225" s="749"/>
      <c r="P225" s="742"/>
      <c r="Q225" s="743"/>
      <c r="R225" s="741"/>
      <c r="S225" s="751"/>
      <c r="T225" s="754"/>
      <c r="U225" s="105"/>
      <c r="V225" s="562">
        <f t="shared" ref="V225" si="107">SUM(T225:U225)</f>
        <v>0</v>
      </c>
      <c r="W225" s="562">
        <f t="shared" ref="W225:W231" ca="1" si="108">E225-V225</f>
        <v>0</v>
      </c>
      <c r="X225" s="749"/>
      <c r="Y225" s="744"/>
      <c r="Z225" s="743"/>
      <c r="AA225" s="741"/>
      <c r="AB225" s="391"/>
      <c r="AC225" s="447"/>
      <c r="AD225" s="132"/>
      <c r="AE225" s="132"/>
      <c r="AF225" s="132"/>
      <c r="AG225" s="551">
        <f t="shared" ref="AG225:AG231" ca="1" si="109">SUM(E225,AD225:AF225)</f>
        <v>0</v>
      </c>
      <c r="AH225" s="414"/>
      <c r="AI225" s="405"/>
      <c r="AJ225" s="405"/>
      <c r="AK225" s="405"/>
      <c r="AL225" s="405"/>
      <c r="AM225" s="405"/>
      <c r="AN225" s="405"/>
      <c r="AO225" s="405"/>
      <c r="AP225" s="258" t="s">
        <v>1097</v>
      </c>
      <c r="AQ225" s="258" t="s">
        <v>1098</v>
      </c>
      <c r="AR225" s="281"/>
      <c r="AS225" s="281"/>
      <c r="AT225" s="281"/>
      <c r="AU225" s="281"/>
      <c r="AV225" s="281"/>
      <c r="AW225" s="281"/>
      <c r="AX225" s="281"/>
      <c r="AY225" s="281"/>
      <c r="AZ225" s="281"/>
      <c r="BA225" s="281"/>
      <c r="BB225" s="281"/>
      <c r="BC225" s="281"/>
      <c r="BD225" s="281"/>
      <c r="BE225" s="281"/>
      <c r="BF225" s="281"/>
      <c r="BG225" s="281"/>
      <c r="BH225" s="281"/>
      <c r="BI225" s="281"/>
      <c r="BJ225" s="281"/>
      <c r="BK225" s="281"/>
      <c r="BL225" s="281"/>
      <c r="BM225" s="281"/>
      <c r="BN225" s="281"/>
      <c r="BO225" s="281"/>
      <c r="BP225" s="281"/>
      <c r="BQ225" s="281"/>
      <c r="BR225" s="281"/>
      <c r="BS225" s="281"/>
      <c r="BT225" s="281"/>
      <c r="BU225" s="281"/>
      <c r="BV225" s="281"/>
      <c r="BW225" s="281"/>
      <c r="BX225" s="281"/>
      <c r="BY225" s="281"/>
      <c r="BZ225" s="281"/>
    </row>
    <row r="226" spans="1:78" ht="12.75" customHeight="1" x14ac:dyDescent="0.2">
      <c r="A226" s="422">
        <v>72</v>
      </c>
      <c r="B226" s="716" t="str">
        <f>IF(Stammblatt!$L$4=1,'Kalkulation Herstellungskosten'!AP226,'Kalkulation Herstellungskosten'!AQ226)</f>
        <v>Rechtsberatung</v>
      </c>
      <c r="C226" s="481"/>
      <c r="D226" s="481"/>
      <c r="E226" s="37"/>
      <c r="F226" s="426"/>
      <c r="G226" s="426"/>
      <c r="H226" s="450"/>
      <c r="I226" s="483"/>
      <c r="J226" s="817"/>
      <c r="K226" s="817"/>
      <c r="L226" s="711">
        <f t="shared" ref="L226:L231" si="110">G226*J226</f>
        <v>0</v>
      </c>
      <c r="M226" s="711">
        <f t="shared" ref="M226:M231" si="111">G226*K226</f>
        <v>0</v>
      </c>
      <c r="N226" s="485" t="str">
        <f t="shared" ref="N226:N231" si="112">IF((L226+M226)&gt;G226,"?","")</f>
        <v/>
      </c>
      <c r="O226" s="749"/>
      <c r="P226" s="742"/>
      <c r="Q226" s="743"/>
      <c r="R226" s="741"/>
      <c r="S226" s="751"/>
      <c r="T226" s="754"/>
      <c r="U226" s="105"/>
      <c r="V226" s="562">
        <f t="shared" ref="V226:V228" si="113">SUM(T226:U226)</f>
        <v>0</v>
      </c>
      <c r="W226" s="562">
        <f t="shared" si="108"/>
        <v>0</v>
      </c>
      <c r="X226" s="749"/>
      <c r="Y226" s="744"/>
      <c r="Z226" s="743"/>
      <c r="AA226" s="741"/>
      <c r="AB226" s="391"/>
      <c r="AC226" s="447"/>
      <c r="AD226" s="132"/>
      <c r="AE226" s="132"/>
      <c r="AF226" s="132"/>
      <c r="AG226" s="551">
        <f t="shared" si="109"/>
        <v>0</v>
      </c>
      <c r="AH226" s="414"/>
      <c r="AI226" s="405"/>
      <c r="AJ226" s="405"/>
      <c r="AK226" s="405"/>
      <c r="AL226" s="405"/>
      <c r="AM226" s="405"/>
      <c r="AN226" s="405"/>
      <c r="AO226" s="405"/>
      <c r="AP226" s="258" t="s">
        <v>40</v>
      </c>
      <c r="AQ226" s="258" t="s">
        <v>369</v>
      </c>
      <c r="AR226" s="281"/>
      <c r="AS226" s="281"/>
      <c r="AT226" s="281"/>
      <c r="AU226" s="281"/>
      <c r="AV226" s="281"/>
      <c r="AW226" s="281"/>
      <c r="AX226" s="281"/>
      <c r="AY226" s="281"/>
      <c r="AZ226" s="281"/>
      <c r="BA226" s="281"/>
      <c r="BB226" s="281"/>
      <c r="BC226" s="281"/>
      <c r="BD226" s="281"/>
      <c r="BE226" s="281"/>
      <c r="BF226" s="281"/>
      <c r="BG226" s="281"/>
      <c r="BH226" s="281"/>
      <c r="BI226" s="281"/>
      <c r="BJ226" s="281"/>
      <c r="BK226" s="281"/>
      <c r="BL226" s="281"/>
      <c r="BM226" s="281"/>
      <c r="BN226" s="281"/>
      <c r="BO226" s="281"/>
      <c r="BP226" s="281"/>
      <c r="BQ226" s="281"/>
      <c r="BR226" s="281"/>
      <c r="BS226" s="281"/>
      <c r="BT226" s="281"/>
      <c r="BU226" s="281"/>
      <c r="BV226" s="281"/>
      <c r="BW226" s="281"/>
      <c r="BX226" s="281"/>
      <c r="BY226" s="281"/>
      <c r="BZ226" s="281"/>
    </row>
    <row r="227" spans="1:78" ht="12.75" customHeight="1" x14ac:dyDescent="0.2">
      <c r="A227" s="422">
        <v>73</v>
      </c>
      <c r="B227" s="716" t="str">
        <f>IF(Stammblatt!$L$4=1,'Kalkulation Herstellungskosten'!AP227,'Kalkulation Herstellungskosten'!AQ227)</f>
        <v>ArchitektIn/Ausstattung</v>
      </c>
      <c r="C227" s="481"/>
      <c r="D227" s="481"/>
      <c r="E227" s="37"/>
      <c r="F227" s="426"/>
      <c r="G227" s="426"/>
      <c r="H227" s="450"/>
      <c r="I227" s="483"/>
      <c r="J227" s="817"/>
      <c r="K227" s="817"/>
      <c r="L227" s="711">
        <f t="shared" si="110"/>
        <v>0</v>
      </c>
      <c r="M227" s="711">
        <f t="shared" si="111"/>
        <v>0</v>
      </c>
      <c r="N227" s="485" t="str">
        <f t="shared" si="112"/>
        <v/>
      </c>
      <c r="O227" s="749"/>
      <c r="P227" s="742"/>
      <c r="Q227" s="743"/>
      <c r="R227" s="741"/>
      <c r="S227" s="751"/>
      <c r="T227" s="754"/>
      <c r="U227" s="105"/>
      <c r="V227" s="562">
        <f t="shared" si="113"/>
        <v>0</v>
      </c>
      <c r="W227" s="562">
        <f t="shared" si="108"/>
        <v>0</v>
      </c>
      <c r="X227" s="749"/>
      <c r="Y227" s="744"/>
      <c r="Z227" s="743"/>
      <c r="AA227" s="741"/>
      <c r="AB227" s="391"/>
      <c r="AC227" s="447"/>
      <c r="AD227" s="132"/>
      <c r="AE227" s="132"/>
      <c r="AF227" s="132"/>
      <c r="AG227" s="551">
        <f t="shared" si="109"/>
        <v>0</v>
      </c>
      <c r="AH227" s="414"/>
      <c r="AI227" s="405"/>
      <c r="AJ227" s="405"/>
      <c r="AK227" s="405"/>
      <c r="AL227" s="405"/>
      <c r="AM227" s="405"/>
      <c r="AN227" s="405"/>
      <c r="AO227" s="405"/>
      <c r="AP227" s="258" t="s">
        <v>555</v>
      </c>
      <c r="AQ227" s="258" t="s">
        <v>370</v>
      </c>
      <c r="AR227" s="281"/>
      <c r="AS227" s="281"/>
      <c r="AT227" s="281"/>
      <c r="AU227" s="281"/>
      <c r="AV227" s="281"/>
      <c r="AW227" s="281"/>
      <c r="AX227" s="281"/>
      <c r="AY227" s="281"/>
      <c r="AZ227" s="281"/>
      <c r="BA227" s="281"/>
      <c r="BB227" s="281"/>
      <c r="BC227" s="281"/>
      <c r="BD227" s="281"/>
      <c r="BE227" s="281"/>
      <c r="BF227" s="281"/>
      <c r="BG227" s="281"/>
      <c r="BH227" s="281"/>
      <c r="BI227" s="281"/>
      <c r="BJ227" s="281"/>
      <c r="BK227" s="281"/>
      <c r="BL227" s="281"/>
      <c r="BM227" s="281"/>
      <c r="BN227" s="281"/>
      <c r="BO227" s="281"/>
      <c r="BP227" s="281"/>
      <c r="BQ227" s="281"/>
      <c r="BR227" s="281"/>
      <c r="BS227" s="281"/>
      <c r="BT227" s="281"/>
      <c r="BU227" s="281"/>
      <c r="BV227" s="281"/>
      <c r="BW227" s="281"/>
      <c r="BX227" s="281"/>
      <c r="BY227" s="281"/>
      <c r="BZ227" s="281"/>
    </row>
    <row r="228" spans="1:78" ht="12.75" customHeight="1" x14ac:dyDescent="0.2">
      <c r="A228" s="422">
        <v>74</v>
      </c>
      <c r="B228" s="716" t="str">
        <f>IF(Stammblatt!$L$4=1,'Kalkulation Herstellungskosten'!AP228,'Kalkulation Herstellungskosten'!AQ228)</f>
        <v>Casting</v>
      </c>
      <c r="C228" s="481"/>
      <c r="D228" s="481"/>
      <c r="E228" s="37"/>
      <c r="F228" s="426"/>
      <c r="G228" s="426"/>
      <c r="H228" s="450"/>
      <c r="I228" s="483"/>
      <c r="J228" s="817"/>
      <c r="K228" s="817"/>
      <c r="L228" s="711">
        <f t="shared" si="110"/>
        <v>0</v>
      </c>
      <c r="M228" s="711">
        <f t="shared" si="111"/>
        <v>0</v>
      </c>
      <c r="N228" s="485" t="str">
        <f t="shared" si="112"/>
        <v/>
      </c>
      <c r="O228" s="749"/>
      <c r="P228" s="742"/>
      <c r="Q228" s="743"/>
      <c r="R228" s="741"/>
      <c r="S228" s="751"/>
      <c r="T228" s="754"/>
      <c r="U228" s="105"/>
      <c r="V228" s="562">
        <f t="shared" si="113"/>
        <v>0</v>
      </c>
      <c r="W228" s="562">
        <f t="shared" si="108"/>
        <v>0</v>
      </c>
      <c r="X228" s="749"/>
      <c r="Y228" s="744"/>
      <c r="Z228" s="743"/>
      <c r="AA228" s="741"/>
      <c r="AB228" s="391"/>
      <c r="AC228" s="447"/>
      <c r="AD228" s="132"/>
      <c r="AE228" s="132"/>
      <c r="AF228" s="132"/>
      <c r="AG228" s="551">
        <f t="shared" si="109"/>
        <v>0</v>
      </c>
      <c r="AH228" s="414"/>
      <c r="AI228" s="405"/>
      <c r="AJ228" s="405"/>
      <c r="AK228" s="405"/>
      <c r="AL228" s="405"/>
      <c r="AM228" s="405"/>
      <c r="AN228" s="405"/>
      <c r="AO228" s="405"/>
      <c r="AP228" s="258" t="s">
        <v>897</v>
      </c>
      <c r="AQ228" s="258" t="s">
        <v>897</v>
      </c>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c r="BO228" s="281"/>
      <c r="BP228" s="281"/>
      <c r="BQ228" s="281"/>
      <c r="BR228" s="281"/>
      <c r="BS228" s="281"/>
      <c r="BT228" s="281"/>
      <c r="BU228" s="281"/>
      <c r="BV228" s="281"/>
      <c r="BW228" s="281"/>
      <c r="BX228" s="281"/>
      <c r="BY228" s="281"/>
      <c r="BZ228" s="281"/>
    </row>
    <row r="229" spans="1:78" ht="12.75" customHeight="1" x14ac:dyDescent="0.2">
      <c r="A229" s="422">
        <v>75</v>
      </c>
      <c r="B229" s="716" t="str">
        <f>IF(Stammblatt!$L$4=1,'Kalkulation Herstellungskosten'!AP229,'Kalkulation Herstellungskosten'!AQ229)</f>
        <v>KunstmalerIn, BildhauerIn</v>
      </c>
      <c r="C229" s="481"/>
      <c r="D229" s="481"/>
      <c r="E229" s="37"/>
      <c r="F229" s="426"/>
      <c r="G229" s="426"/>
      <c r="H229" s="450"/>
      <c r="I229" s="483"/>
      <c r="J229" s="817"/>
      <c r="K229" s="817"/>
      <c r="L229" s="711">
        <f t="shared" si="110"/>
        <v>0</v>
      </c>
      <c r="M229" s="711">
        <f t="shared" si="111"/>
        <v>0</v>
      </c>
      <c r="N229" s="485" t="str">
        <f t="shared" si="112"/>
        <v/>
      </c>
      <c r="O229" s="749"/>
      <c r="P229" s="742"/>
      <c r="Q229" s="743"/>
      <c r="R229" s="741"/>
      <c r="S229" s="751"/>
      <c r="T229" s="771"/>
      <c r="U229" s="772"/>
      <c r="V229" s="562">
        <f t="shared" ref="V229:V230" si="114">SUM(T229:U229)</f>
        <v>0</v>
      </c>
      <c r="W229" s="562">
        <f t="shared" si="108"/>
        <v>0</v>
      </c>
      <c r="X229" s="749"/>
      <c r="Y229" s="744"/>
      <c r="Z229" s="743"/>
      <c r="AA229" s="741"/>
      <c r="AB229" s="391"/>
      <c r="AC229" s="401"/>
      <c r="AD229" s="92"/>
      <c r="AE229" s="92"/>
      <c r="AF229" s="92"/>
      <c r="AG229" s="551">
        <f t="shared" si="109"/>
        <v>0</v>
      </c>
      <c r="AH229" s="414"/>
      <c r="AI229" s="405"/>
      <c r="AJ229" s="405"/>
      <c r="AK229" s="405"/>
      <c r="AL229" s="405"/>
      <c r="AM229" s="405"/>
      <c r="AN229" s="405"/>
      <c r="AO229" s="405"/>
      <c r="AP229" s="258" t="s">
        <v>898</v>
      </c>
      <c r="AQ229" s="258" t="s">
        <v>899</v>
      </c>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c r="BM229" s="281"/>
      <c r="BN229" s="281"/>
      <c r="BO229" s="281"/>
      <c r="BP229" s="281"/>
      <c r="BQ229" s="281"/>
      <c r="BR229" s="281"/>
      <c r="BS229" s="281"/>
      <c r="BT229" s="281"/>
      <c r="BU229" s="281"/>
      <c r="BV229" s="281"/>
      <c r="BW229" s="281"/>
      <c r="BX229" s="281"/>
      <c r="BY229" s="281"/>
      <c r="BZ229" s="281"/>
    </row>
    <row r="230" spans="1:78" ht="12.75" customHeight="1" x14ac:dyDescent="0.2">
      <c r="A230" s="422">
        <v>76</v>
      </c>
      <c r="B230" s="716" t="str">
        <f>IF(Stammblatt!$L$4=1,'Kalkulation Herstellungskosten'!AP230,'Kalkulation Herstellungskosten'!AQ230)</f>
        <v>StandfotografIn</v>
      </c>
      <c r="C230" s="481"/>
      <c r="D230" s="481"/>
      <c r="E230" s="37"/>
      <c r="F230" s="426"/>
      <c r="G230" s="426"/>
      <c r="H230" s="450"/>
      <c r="I230" s="483"/>
      <c r="J230" s="817"/>
      <c r="K230" s="817"/>
      <c r="L230" s="711">
        <f t="shared" si="110"/>
        <v>0</v>
      </c>
      <c r="M230" s="711">
        <f t="shared" si="111"/>
        <v>0</v>
      </c>
      <c r="N230" s="485" t="str">
        <f t="shared" si="112"/>
        <v/>
      </c>
      <c r="O230" s="749"/>
      <c r="P230" s="742"/>
      <c r="Q230" s="743"/>
      <c r="R230" s="741"/>
      <c r="S230" s="751"/>
      <c r="T230" s="771"/>
      <c r="U230" s="772"/>
      <c r="V230" s="562">
        <f t="shared" si="114"/>
        <v>0</v>
      </c>
      <c r="W230" s="562">
        <f t="shared" si="108"/>
        <v>0</v>
      </c>
      <c r="X230" s="749"/>
      <c r="Y230" s="744"/>
      <c r="Z230" s="743"/>
      <c r="AA230" s="741"/>
      <c r="AB230" s="391"/>
      <c r="AC230" s="401"/>
      <c r="AD230" s="92"/>
      <c r="AE230" s="92"/>
      <c r="AF230" s="92"/>
      <c r="AG230" s="551">
        <f t="shared" si="109"/>
        <v>0</v>
      </c>
      <c r="AH230" s="405"/>
      <c r="AI230" s="405"/>
      <c r="AJ230" s="405"/>
      <c r="AK230" s="405"/>
      <c r="AL230" s="405"/>
      <c r="AM230" s="405"/>
      <c r="AN230" s="405"/>
      <c r="AO230" s="405"/>
      <c r="AP230" s="258" t="s">
        <v>554</v>
      </c>
      <c r="AQ230" s="258" t="s">
        <v>336</v>
      </c>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c r="BL230" s="281"/>
      <c r="BM230" s="281"/>
      <c r="BN230" s="281"/>
      <c r="BO230" s="281"/>
      <c r="BP230" s="281"/>
      <c r="BQ230" s="281"/>
      <c r="BR230" s="281"/>
      <c r="BS230" s="281"/>
      <c r="BT230" s="281"/>
      <c r="BU230" s="281"/>
      <c r="BV230" s="281"/>
      <c r="BW230" s="281"/>
      <c r="BX230" s="281"/>
      <c r="BY230" s="281"/>
      <c r="BZ230" s="281"/>
    </row>
    <row r="231" spans="1:78" ht="12.75" customHeight="1" x14ac:dyDescent="0.2">
      <c r="A231" s="422">
        <v>77</v>
      </c>
      <c r="B231" s="716" t="str">
        <f>IF(Stammblatt!$L$4=1,'Kalkulation Herstellungskosten'!AP231,'Kalkulation Herstellungskosten'!AQ231)</f>
        <v>GrafikerIn</v>
      </c>
      <c r="C231" s="481"/>
      <c r="D231" s="481"/>
      <c r="E231" s="37"/>
      <c r="F231" s="426"/>
      <c r="G231" s="426"/>
      <c r="H231" s="450"/>
      <c r="I231" s="483"/>
      <c r="J231" s="817"/>
      <c r="K231" s="817"/>
      <c r="L231" s="711">
        <f t="shared" si="110"/>
        <v>0</v>
      </c>
      <c r="M231" s="711">
        <f t="shared" si="111"/>
        <v>0</v>
      </c>
      <c r="N231" s="485" t="str">
        <f t="shared" si="112"/>
        <v/>
      </c>
      <c r="O231" s="749"/>
      <c r="P231" s="742"/>
      <c r="Q231" s="743"/>
      <c r="R231" s="741"/>
      <c r="S231" s="751"/>
      <c r="T231" s="771"/>
      <c r="U231" s="772"/>
      <c r="V231" s="562">
        <f t="shared" ref="V231:V242" si="115">SUM(T231:U231)</f>
        <v>0</v>
      </c>
      <c r="W231" s="562">
        <f t="shared" si="108"/>
        <v>0</v>
      </c>
      <c r="X231" s="749"/>
      <c r="Y231" s="744"/>
      <c r="Z231" s="743"/>
      <c r="AA231" s="741"/>
      <c r="AB231" s="391"/>
      <c r="AC231" s="401"/>
      <c r="AD231" s="92"/>
      <c r="AE231" s="92"/>
      <c r="AF231" s="92"/>
      <c r="AG231" s="561">
        <f t="shared" si="109"/>
        <v>0</v>
      </c>
      <c r="AH231" s="405"/>
      <c r="AI231" s="405"/>
      <c r="AJ231" s="405"/>
      <c r="AK231" s="405"/>
      <c r="AL231" s="405"/>
      <c r="AM231" s="405"/>
      <c r="AN231" s="405"/>
      <c r="AO231" s="405"/>
      <c r="AP231" s="258" t="s">
        <v>556</v>
      </c>
      <c r="AQ231" s="258" t="s">
        <v>495</v>
      </c>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c r="BM231" s="281"/>
      <c r="BN231" s="281"/>
      <c r="BO231" s="281"/>
      <c r="BP231" s="281"/>
      <c r="BQ231" s="281"/>
      <c r="BR231" s="281"/>
      <c r="BS231" s="281"/>
      <c r="BT231" s="281"/>
      <c r="BU231" s="281"/>
      <c r="BV231" s="281"/>
      <c r="BW231" s="281"/>
      <c r="BX231" s="281"/>
      <c r="BY231" s="281"/>
      <c r="BZ231" s="281"/>
    </row>
    <row r="232" spans="1:78" ht="12.75" customHeight="1" x14ac:dyDescent="0.2">
      <c r="A232" s="486"/>
      <c r="B232" s="721"/>
      <c r="C232" s="487"/>
      <c r="D232" s="487"/>
      <c r="E232" s="487"/>
      <c r="F232" s="400"/>
      <c r="G232" s="400"/>
      <c r="H232" s="488"/>
      <c r="I232" s="489"/>
      <c r="J232" s="490"/>
      <c r="K232" s="491"/>
      <c r="L232" s="492"/>
      <c r="M232" s="492"/>
      <c r="N232" s="493"/>
      <c r="O232" s="773"/>
      <c r="P232" s="773"/>
      <c r="Q232" s="773"/>
      <c r="R232" s="773"/>
      <c r="S232" s="751"/>
      <c r="T232" s="746"/>
      <c r="U232" s="435"/>
      <c r="V232" s="809"/>
      <c r="W232" s="809"/>
      <c r="X232" s="759"/>
      <c r="Y232" s="759"/>
      <c r="Z232" s="745"/>
      <c r="AA232" s="745"/>
      <c r="AB232" s="391"/>
      <c r="AC232" s="401"/>
      <c r="AD232" s="495"/>
      <c r="AE232" s="495"/>
      <c r="AF232" s="495"/>
      <c r="AG232" s="495"/>
      <c r="AH232" s="405"/>
      <c r="AI232" s="405"/>
      <c r="AJ232" s="405"/>
      <c r="AK232" s="405"/>
      <c r="AL232" s="405"/>
      <c r="AM232" s="405"/>
      <c r="AN232" s="405"/>
      <c r="AO232" s="405"/>
      <c r="AP232" s="258"/>
      <c r="AQ232" s="258"/>
      <c r="AR232" s="281"/>
      <c r="AS232" s="281"/>
      <c r="AT232" s="281"/>
      <c r="AU232" s="281"/>
      <c r="AV232" s="281"/>
      <c r="AW232" s="281"/>
      <c r="AX232" s="281"/>
      <c r="AY232" s="281"/>
      <c r="AZ232" s="281"/>
      <c r="BA232" s="281"/>
      <c r="BB232" s="281"/>
      <c r="BC232" s="281"/>
      <c r="BD232" s="281"/>
      <c r="BE232" s="281"/>
      <c r="BF232" s="281"/>
      <c r="BG232" s="281"/>
      <c r="BH232" s="281"/>
      <c r="BI232" s="281"/>
      <c r="BJ232" s="281"/>
      <c r="BK232" s="281"/>
      <c r="BL232" s="281"/>
      <c r="BM232" s="281"/>
      <c r="BN232" s="281"/>
      <c r="BO232" s="281"/>
      <c r="BP232" s="281"/>
      <c r="BQ232" s="281"/>
      <c r="BR232" s="281"/>
      <c r="BS232" s="281"/>
      <c r="BT232" s="281"/>
      <c r="BU232" s="281"/>
      <c r="BV232" s="281"/>
      <c r="BW232" s="281"/>
      <c r="BX232" s="281"/>
      <c r="BY232" s="281"/>
      <c r="BZ232" s="281"/>
    </row>
    <row r="233" spans="1:78" x14ac:dyDescent="0.2">
      <c r="A233" s="478">
        <v>78</v>
      </c>
      <c r="B233" s="729" t="str">
        <f>IF(Stammblatt!$L$4=1,'Kalkulation Herstellungskosten'!AP233,'Kalkulation Herstellungskosten'!AQ233)</f>
        <v>Sonstige Dienstleister/Rechnungsleger</v>
      </c>
      <c r="C233" s="479"/>
      <c r="D233" s="479"/>
      <c r="E233" s="482"/>
      <c r="F233" s="400"/>
      <c r="G233" s="400"/>
      <c r="H233" s="431"/>
      <c r="I233" s="394"/>
      <c r="J233" s="432"/>
      <c r="K233" s="431"/>
      <c r="L233" s="431"/>
      <c r="M233" s="431"/>
      <c r="N233" s="433"/>
      <c r="O233" s="745"/>
      <c r="P233" s="745"/>
      <c r="Q233" s="745"/>
      <c r="R233" s="745"/>
      <c r="S233" s="751"/>
      <c r="T233" s="746"/>
      <c r="U233" s="435"/>
      <c r="V233" s="809"/>
      <c r="W233" s="809"/>
      <c r="X233" s="745"/>
      <c r="Y233" s="745"/>
      <c r="Z233" s="745"/>
      <c r="AA233" s="745"/>
      <c r="AB233" s="391"/>
      <c r="AC233" s="401"/>
      <c r="AD233" s="482"/>
      <c r="AE233" s="482"/>
      <c r="AF233" s="482"/>
      <c r="AG233" s="400"/>
      <c r="AH233" s="405"/>
      <c r="AI233" s="405"/>
      <c r="AJ233" s="405"/>
      <c r="AK233" s="405"/>
      <c r="AL233" s="405"/>
      <c r="AM233" s="405"/>
      <c r="AN233" s="405"/>
      <c r="AO233" s="405"/>
      <c r="AP233" s="258" t="s">
        <v>645</v>
      </c>
      <c r="AQ233" s="258" t="s">
        <v>646</v>
      </c>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row>
    <row r="234" spans="1:78" ht="12.75" customHeight="1" x14ac:dyDescent="0.2">
      <c r="A234" s="422" t="s">
        <v>669</v>
      </c>
      <c r="B234" s="480" t="s">
        <v>903</v>
      </c>
      <c r="C234" s="481"/>
      <c r="D234" s="481"/>
      <c r="E234" s="37"/>
      <c r="F234" s="426"/>
      <c r="G234" s="426"/>
      <c r="H234" s="450"/>
      <c r="I234" s="483"/>
      <c r="J234" s="817"/>
      <c r="K234" s="817"/>
      <c r="L234" s="711">
        <f t="shared" ref="L234" si="116">G234*J234</f>
        <v>0</v>
      </c>
      <c r="M234" s="711">
        <f t="shared" ref="M234" si="117">G234*K234</f>
        <v>0</v>
      </c>
      <c r="N234" s="485" t="str">
        <f t="shared" ref="N234" si="118">IF((L234+M234)&gt;G234,"?","")</f>
        <v/>
      </c>
      <c r="O234" s="749"/>
      <c r="P234" s="742"/>
      <c r="Q234" s="743"/>
      <c r="R234" s="741"/>
      <c r="S234" s="751"/>
      <c r="T234" s="771"/>
      <c r="U234" s="772"/>
      <c r="V234" s="562">
        <f t="shared" si="115"/>
        <v>0</v>
      </c>
      <c r="W234" s="562">
        <f t="shared" ref="W234:W254" si="119">E234-V234</f>
        <v>0</v>
      </c>
      <c r="X234" s="749"/>
      <c r="Y234" s="744"/>
      <c r="Z234" s="743"/>
      <c r="AA234" s="741"/>
      <c r="AB234" s="391"/>
      <c r="AC234" s="401"/>
      <c r="AD234" s="92"/>
      <c r="AE234" s="92"/>
      <c r="AF234" s="92"/>
      <c r="AG234" s="561">
        <f t="shared" ref="AG234:AG284" si="120">SUM(E234,AD234:AF234)</f>
        <v>0</v>
      </c>
      <c r="AH234" s="405"/>
      <c r="AI234" s="405"/>
      <c r="AJ234" s="405"/>
      <c r="AK234" s="405"/>
      <c r="AL234" s="405"/>
      <c r="AM234" s="405"/>
      <c r="AN234" s="405"/>
      <c r="AO234" s="405"/>
      <c r="AP234" s="258"/>
      <c r="AQ234" s="258"/>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row>
    <row r="235" spans="1:78" ht="12.75" customHeight="1" x14ac:dyDescent="0.2">
      <c r="A235" s="422" t="s">
        <v>670</v>
      </c>
      <c r="B235" s="423" t="s">
        <v>936</v>
      </c>
      <c r="C235" s="481"/>
      <c r="D235" s="481"/>
      <c r="E235" s="37"/>
      <c r="F235" s="426"/>
      <c r="G235" s="426"/>
      <c r="H235" s="450"/>
      <c r="I235" s="483"/>
      <c r="J235" s="817"/>
      <c r="K235" s="817"/>
      <c r="L235" s="711">
        <f t="shared" ref="L235:L284" si="121">G235*J235</f>
        <v>0</v>
      </c>
      <c r="M235" s="711">
        <f t="shared" ref="M235:M284" si="122">G235*K235</f>
        <v>0</v>
      </c>
      <c r="N235" s="485" t="str">
        <f t="shared" ref="N235:N284" si="123">IF((L235+M235)&gt;G235,"?","")</f>
        <v/>
      </c>
      <c r="O235" s="749"/>
      <c r="P235" s="742"/>
      <c r="Q235" s="743"/>
      <c r="R235" s="741"/>
      <c r="S235" s="751"/>
      <c r="T235" s="771"/>
      <c r="U235" s="772"/>
      <c r="V235" s="562">
        <f t="shared" si="115"/>
        <v>0</v>
      </c>
      <c r="W235" s="562">
        <f t="shared" si="119"/>
        <v>0</v>
      </c>
      <c r="X235" s="749"/>
      <c r="Y235" s="744"/>
      <c r="Z235" s="743"/>
      <c r="AA235" s="741"/>
      <c r="AB235" s="391"/>
      <c r="AC235" s="401"/>
      <c r="AD235" s="92"/>
      <c r="AE235" s="92"/>
      <c r="AF235" s="92"/>
      <c r="AG235" s="561">
        <f t="shared" si="120"/>
        <v>0</v>
      </c>
      <c r="AH235" s="405"/>
      <c r="AI235" s="405"/>
      <c r="AJ235" s="405"/>
      <c r="AK235" s="405"/>
      <c r="AL235" s="405"/>
      <c r="AM235" s="405"/>
      <c r="AN235" s="405"/>
      <c r="AO235" s="405"/>
      <c r="AP235" s="258"/>
      <c r="AQ235" s="258"/>
      <c r="AR235" s="281"/>
      <c r="AS235" s="281"/>
      <c r="AT235" s="281"/>
      <c r="AU235" s="281"/>
      <c r="AV235" s="281"/>
      <c r="AW235" s="281"/>
      <c r="AX235" s="281"/>
      <c r="AY235" s="281"/>
      <c r="AZ235" s="281"/>
      <c r="BA235" s="281"/>
      <c r="BB235" s="281"/>
      <c r="BC235" s="281"/>
      <c r="BD235" s="281"/>
      <c r="BE235" s="281"/>
      <c r="BF235" s="281"/>
      <c r="BG235" s="281"/>
      <c r="BH235" s="281"/>
      <c r="BI235" s="281"/>
      <c r="BJ235" s="281"/>
      <c r="BK235" s="281"/>
      <c r="BL235" s="281"/>
      <c r="BM235" s="281"/>
      <c r="BN235" s="281"/>
      <c r="BO235" s="281"/>
      <c r="BP235" s="281"/>
      <c r="BQ235" s="281"/>
      <c r="BR235" s="281"/>
      <c r="BS235" s="281"/>
      <c r="BT235" s="281"/>
      <c r="BU235" s="281"/>
      <c r="BV235" s="281"/>
      <c r="BW235" s="281"/>
      <c r="BX235" s="281"/>
      <c r="BY235" s="281"/>
      <c r="BZ235" s="281"/>
    </row>
    <row r="236" spans="1:78" ht="12.75" customHeight="1" x14ac:dyDescent="0.2">
      <c r="A236" s="422" t="s">
        <v>671</v>
      </c>
      <c r="B236" s="43"/>
      <c r="C236" s="481"/>
      <c r="D236" s="481"/>
      <c r="E236" s="37"/>
      <c r="F236" s="426"/>
      <c r="G236" s="426"/>
      <c r="H236" s="450"/>
      <c r="I236" s="483"/>
      <c r="J236" s="817"/>
      <c r="K236" s="817"/>
      <c r="L236" s="711">
        <f t="shared" si="121"/>
        <v>0</v>
      </c>
      <c r="M236" s="711">
        <f t="shared" si="122"/>
        <v>0</v>
      </c>
      <c r="N236" s="485" t="str">
        <f t="shared" si="123"/>
        <v/>
      </c>
      <c r="O236" s="749"/>
      <c r="P236" s="742"/>
      <c r="Q236" s="743"/>
      <c r="R236" s="741"/>
      <c r="S236" s="751"/>
      <c r="T236" s="771"/>
      <c r="U236" s="772"/>
      <c r="V236" s="562">
        <f t="shared" si="115"/>
        <v>0</v>
      </c>
      <c r="W236" s="562">
        <f t="shared" si="119"/>
        <v>0</v>
      </c>
      <c r="X236" s="749"/>
      <c r="Y236" s="744"/>
      <c r="Z236" s="743"/>
      <c r="AA236" s="741"/>
      <c r="AB236" s="391"/>
      <c r="AC236" s="401"/>
      <c r="AD236" s="92"/>
      <c r="AE236" s="92"/>
      <c r="AF236" s="92"/>
      <c r="AG236" s="561">
        <f t="shared" si="120"/>
        <v>0</v>
      </c>
      <c r="AH236" s="405"/>
      <c r="AI236" s="405"/>
      <c r="AJ236" s="405"/>
      <c r="AK236" s="405"/>
      <c r="AL236" s="405"/>
      <c r="AM236" s="405"/>
      <c r="AN236" s="405"/>
      <c r="AO236" s="405"/>
      <c r="AP236" s="258"/>
      <c r="AQ236" s="258"/>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row>
    <row r="237" spans="1:78" ht="12.75" customHeight="1" x14ac:dyDescent="0.2">
      <c r="A237" s="422" t="s">
        <v>672</v>
      </c>
      <c r="B237" s="43"/>
      <c r="C237" s="481"/>
      <c r="D237" s="481"/>
      <c r="E237" s="37"/>
      <c r="F237" s="426"/>
      <c r="G237" s="426"/>
      <c r="H237" s="450"/>
      <c r="I237" s="483"/>
      <c r="J237" s="817"/>
      <c r="K237" s="817"/>
      <c r="L237" s="711">
        <f t="shared" si="121"/>
        <v>0</v>
      </c>
      <c r="M237" s="711">
        <f t="shared" si="122"/>
        <v>0</v>
      </c>
      <c r="N237" s="485" t="str">
        <f t="shared" si="123"/>
        <v/>
      </c>
      <c r="O237" s="749"/>
      <c r="P237" s="742"/>
      <c r="Q237" s="743"/>
      <c r="R237" s="741"/>
      <c r="S237" s="751"/>
      <c r="T237" s="771"/>
      <c r="U237" s="772"/>
      <c r="V237" s="562">
        <f t="shared" si="115"/>
        <v>0</v>
      </c>
      <c r="W237" s="562">
        <f t="shared" si="119"/>
        <v>0</v>
      </c>
      <c r="X237" s="749"/>
      <c r="Y237" s="744"/>
      <c r="Z237" s="743"/>
      <c r="AA237" s="741"/>
      <c r="AB237" s="391"/>
      <c r="AC237" s="401"/>
      <c r="AD237" s="92"/>
      <c r="AE237" s="92"/>
      <c r="AF237" s="92"/>
      <c r="AG237" s="561">
        <f t="shared" si="120"/>
        <v>0</v>
      </c>
      <c r="AH237" s="405"/>
      <c r="AI237" s="405"/>
      <c r="AJ237" s="405"/>
      <c r="AK237" s="405"/>
      <c r="AL237" s="405"/>
      <c r="AM237" s="405"/>
      <c r="AN237" s="405"/>
      <c r="AO237" s="405"/>
      <c r="AP237" s="258"/>
      <c r="AQ237" s="258"/>
      <c r="AR237" s="281"/>
      <c r="AS237" s="281"/>
      <c r="AT237" s="281"/>
      <c r="AU237" s="281"/>
      <c r="AV237" s="281"/>
      <c r="AW237" s="281"/>
      <c r="AX237" s="281"/>
      <c r="AY237" s="281"/>
      <c r="AZ237" s="281"/>
      <c r="BA237" s="281"/>
      <c r="BB237" s="281"/>
      <c r="BC237" s="281"/>
      <c r="BD237" s="281"/>
      <c r="BE237" s="281"/>
      <c r="BF237" s="281"/>
      <c r="BG237" s="281"/>
      <c r="BH237" s="281"/>
      <c r="BI237" s="281"/>
      <c r="BJ237" s="281"/>
      <c r="BK237" s="281"/>
      <c r="BL237" s="281"/>
      <c r="BM237" s="281"/>
      <c r="BN237" s="281"/>
      <c r="BO237" s="281"/>
      <c r="BP237" s="281"/>
      <c r="BQ237" s="281"/>
      <c r="BR237" s="281"/>
      <c r="BS237" s="281"/>
      <c r="BT237" s="281"/>
      <c r="BU237" s="281"/>
      <c r="BV237" s="281"/>
      <c r="BW237" s="281"/>
      <c r="BX237" s="281"/>
      <c r="BY237" s="281"/>
      <c r="BZ237" s="281"/>
    </row>
    <row r="238" spans="1:78" ht="12.75" customHeight="1" x14ac:dyDescent="0.2">
      <c r="A238" s="422" t="s">
        <v>673</v>
      </c>
      <c r="B238" s="43"/>
      <c r="C238" s="481"/>
      <c r="D238" s="481"/>
      <c r="E238" s="37"/>
      <c r="F238" s="426"/>
      <c r="G238" s="426"/>
      <c r="H238" s="450"/>
      <c r="I238" s="483"/>
      <c r="J238" s="817"/>
      <c r="K238" s="817"/>
      <c r="L238" s="711">
        <f t="shared" si="121"/>
        <v>0</v>
      </c>
      <c r="M238" s="711">
        <f t="shared" si="122"/>
        <v>0</v>
      </c>
      <c r="N238" s="485" t="str">
        <f t="shared" si="123"/>
        <v/>
      </c>
      <c r="O238" s="749"/>
      <c r="P238" s="742"/>
      <c r="Q238" s="743"/>
      <c r="R238" s="741"/>
      <c r="S238" s="751"/>
      <c r="T238" s="771"/>
      <c r="U238" s="772"/>
      <c r="V238" s="562">
        <f t="shared" si="115"/>
        <v>0</v>
      </c>
      <c r="W238" s="562">
        <f t="shared" si="119"/>
        <v>0</v>
      </c>
      <c r="X238" s="749"/>
      <c r="Y238" s="744"/>
      <c r="Z238" s="743"/>
      <c r="AA238" s="741"/>
      <c r="AB238" s="391"/>
      <c r="AC238" s="401"/>
      <c r="AD238" s="92"/>
      <c r="AE238" s="92"/>
      <c r="AF238" s="92"/>
      <c r="AG238" s="561">
        <f t="shared" si="120"/>
        <v>0</v>
      </c>
      <c r="AH238" s="405"/>
      <c r="AI238" s="405"/>
      <c r="AJ238" s="405"/>
      <c r="AK238" s="405"/>
      <c r="AL238" s="405"/>
      <c r="AM238" s="405"/>
      <c r="AN238" s="405"/>
      <c r="AO238" s="405"/>
      <c r="AP238" s="258"/>
      <c r="AQ238" s="258"/>
      <c r="AR238" s="281"/>
      <c r="AS238" s="281"/>
      <c r="AT238" s="281"/>
      <c r="AU238" s="281"/>
      <c r="AV238" s="281"/>
      <c r="AW238" s="281"/>
      <c r="AX238" s="281"/>
      <c r="AY238" s="281"/>
      <c r="AZ238" s="281"/>
      <c r="BA238" s="281"/>
      <c r="BB238" s="281"/>
      <c r="BC238" s="281"/>
      <c r="BD238" s="281"/>
      <c r="BE238" s="281"/>
      <c r="BF238" s="281"/>
      <c r="BG238" s="281"/>
      <c r="BH238" s="281"/>
      <c r="BI238" s="281"/>
      <c r="BJ238" s="281"/>
      <c r="BK238" s="281"/>
      <c r="BL238" s="281"/>
      <c r="BM238" s="281"/>
      <c r="BN238" s="281"/>
      <c r="BO238" s="281"/>
      <c r="BP238" s="281"/>
      <c r="BQ238" s="281"/>
      <c r="BR238" s="281"/>
      <c r="BS238" s="281"/>
      <c r="BT238" s="281"/>
      <c r="BU238" s="281"/>
      <c r="BV238" s="281"/>
      <c r="BW238" s="281"/>
      <c r="BX238" s="281"/>
      <c r="BY238" s="281"/>
      <c r="BZ238" s="281"/>
    </row>
    <row r="239" spans="1:78" ht="12.75" customHeight="1" x14ac:dyDescent="0.2">
      <c r="A239" s="422" t="s">
        <v>674</v>
      </c>
      <c r="B239" s="43"/>
      <c r="C239" s="481"/>
      <c r="D239" s="481"/>
      <c r="E239" s="37"/>
      <c r="F239" s="426"/>
      <c r="G239" s="426"/>
      <c r="H239" s="450"/>
      <c r="I239" s="483"/>
      <c r="J239" s="817"/>
      <c r="K239" s="817"/>
      <c r="L239" s="711">
        <f t="shared" si="121"/>
        <v>0</v>
      </c>
      <c r="M239" s="711">
        <f t="shared" si="122"/>
        <v>0</v>
      </c>
      <c r="N239" s="485" t="str">
        <f t="shared" si="123"/>
        <v/>
      </c>
      <c r="O239" s="749"/>
      <c r="P239" s="742"/>
      <c r="Q239" s="743"/>
      <c r="R239" s="741"/>
      <c r="S239" s="751"/>
      <c r="T239" s="771"/>
      <c r="U239" s="772"/>
      <c r="V239" s="562">
        <f t="shared" si="115"/>
        <v>0</v>
      </c>
      <c r="W239" s="562">
        <f t="shared" si="119"/>
        <v>0</v>
      </c>
      <c r="X239" s="749"/>
      <c r="Y239" s="744"/>
      <c r="Z239" s="743"/>
      <c r="AA239" s="741"/>
      <c r="AB239" s="391"/>
      <c r="AC239" s="401"/>
      <c r="AD239" s="92"/>
      <c r="AE239" s="92"/>
      <c r="AF239" s="92"/>
      <c r="AG239" s="561">
        <f t="shared" si="120"/>
        <v>0</v>
      </c>
      <c r="AH239" s="405"/>
      <c r="AI239" s="405"/>
      <c r="AJ239" s="405"/>
      <c r="AK239" s="405"/>
      <c r="AL239" s="405"/>
      <c r="AM239" s="405"/>
      <c r="AN239" s="405"/>
      <c r="AO239" s="405"/>
      <c r="AP239" s="258"/>
      <c r="AQ239" s="258"/>
      <c r="AR239" s="281"/>
      <c r="AS239" s="281"/>
      <c r="AT239" s="281"/>
      <c r="AU239" s="281"/>
      <c r="AV239" s="281"/>
      <c r="AW239" s="281"/>
      <c r="AX239" s="281"/>
      <c r="AY239" s="281"/>
      <c r="AZ239" s="281"/>
      <c r="BA239" s="281"/>
      <c r="BB239" s="281"/>
      <c r="BC239" s="281"/>
      <c r="BD239" s="281"/>
      <c r="BE239" s="281"/>
      <c r="BF239" s="281"/>
      <c r="BG239" s="281"/>
      <c r="BH239" s="281"/>
      <c r="BI239" s="281"/>
      <c r="BJ239" s="281"/>
      <c r="BK239" s="281"/>
      <c r="BL239" s="281"/>
      <c r="BM239" s="281"/>
      <c r="BN239" s="281"/>
      <c r="BO239" s="281"/>
      <c r="BP239" s="281"/>
      <c r="BQ239" s="281"/>
      <c r="BR239" s="281"/>
      <c r="BS239" s="281"/>
      <c r="BT239" s="281"/>
      <c r="BU239" s="281"/>
      <c r="BV239" s="281"/>
      <c r="BW239" s="281"/>
      <c r="BX239" s="281"/>
      <c r="BY239" s="281"/>
      <c r="BZ239" s="281"/>
    </row>
    <row r="240" spans="1:78" ht="12.75" customHeight="1" x14ac:dyDescent="0.2">
      <c r="A240" s="422" t="s">
        <v>675</v>
      </c>
      <c r="B240" s="43"/>
      <c r="C240" s="481"/>
      <c r="D240" s="481"/>
      <c r="E240" s="37"/>
      <c r="F240" s="426"/>
      <c r="G240" s="426"/>
      <c r="H240" s="450"/>
      <c r="I240" s="483"/>
      <c r="J240" s="817"/>
      <c r="K240" s="817"/>
      <c r="L240" s="711">
        <f t="shared" si="121"/>
        <v>0</v>
      </c>
      <c r="M240" s="711">
        <f t="shared" si="122"/>
        <v>0</v>
      </c>
      <c r="N240" s="485" t="str">
        <f t="shared" si="123"/>
        <v/>
      </c>
      <c r="O240" s="749"/>
      <c r="P240" s="742"/>
      <c r="Q240" s="743"/>
      <c r="R240" s="741"/>
      <c r="S240" s="751"/>
      <c r="T240" s="771"/>
      <c r="U240" s="772"/>
      <c r="V240" s="562">
        <f t="shared" si="115"/>
        <v>0</v>
      </c>
      <c r="W240" s="562">
        <f t="shared" si="119"/>
        <v>0</v>
      </c>
      <c r="X240" s="749"/>
      <c r="Y240" s="744"/>
      <c r="Z240" s="743"/>
      <c r="AA240" s="741"/>
      <c r="AB240" s="391"/>
      <c r="AC240" s="401"/>
      <c r="AD240" s="92"/>
      <c r="AE240" s="92"/>
      <c r="AF240" s="92"/>
      <c r="AG240" s="561">
        <f t="shared" si="120"/>
        <v>0</v>
      </c>
      <c r="AH240" s="405"/>
      <c r="AI240" s="405"/>
      <c r="AJ240" s="405"/>
      <c r="AK240" s="405"/>
      <c r="AL240" s="405"/>
      <c r="AM240" s="405"/>
      <c r="AN240" s="405"/>
      <c r="AO240" s="405"/>
      <c r="AP240" s="258"/>
      <c r="AQ240" s="258"/>
      <c r="AR240" s="281"/>
      <c r="AS240" s="281"/>
      <c r="AT240" s="281"/>
      <c r="AU240" s="281"/>
      <c r="AV240" s="281"/>
      <c r="AW240" s="281"/>
      <c r="AX240" s="281"/>
      <c r="AY240" s="281"/>
      <c r="AZ240" s="281"/>
      <c r="BA240" s="281"/>
      <c r="BB240" s="281"/>
      <c r="BC240" s="281"/>
      <c r="BD240" s="281"/>
      <c r="BE240" s="281"/>
      <c r="BF240" s="281"/>
      <c r="BG240" s="281"/>
      <c r="BH240" s="281"/>
      <c r="BI240" s="281"/>
      <c r="BJ240" s="281"/>
      <c r="BK240" s="281"/>
      <c r="BL240" s="281"/>
      <c r="BM240" s="281"/>
      <c r="BN240" s="281"/>
      <c r="BO240" s="281"/>
      <c r="BP240" s="281"/>
      <c r="BQ240" s="281"/>
      <c r="BR240" s="281"/>
      <c r="BS240" s="281"/>
      <c r="BT240" s="281"/>
      <c r="BU240" s="281"/>
      <c r="BV240" s="281"/>
      <c r="BW240" s="281"/>
      <c r="BX240" s="281"/>
      <c r="BY240" s="281"/>
      <c r="BZ240" s="281"/>
    </row>
    <row r="241" spans="1:78" ht="12.75" customHeight="1" x14ac:dyDescent="0.2">
      <c r="A241" s="422" t="s">
        <v>676</v>
      </c>
      <c r="B241" s="43"/>
      <c r="C241" s="481"/>
      <c r="D241" s="481"/>
      <c r="E241" s="37"/>
      <c r="F241" s="426"/>
      <c r="G241" s="426"/>
      <c r="H241" s="450"/>
      <c r="I241" s="483"/>
      <c r="J241" s="817"/>
      <c r="K241" s="817"/>
      <c r="L241" s="711">
        <f t="shared" si="121"/>
        <v>0</v>
      </c>
      <c r="M241" s="711">
        <f t="shared" si="122"/>
        <v>0</v>
      </c>
      <c r="N241" s="485" t="str">
        <f t="shared" si="123"/>
        <v/>
      </c>
      <c r="O241" s="749"/>
      <c r="P241" s="742"/>
      <c r="Q241" s="743"/>
      <c r="R241" s="741"/>
      <c r="S241" s="751"/>
      <c r="T241" s="771"/>
      <c r="U241" s="772"/>
      <c r="V241" s="562">
        <f t="shared" si="115"/>
        <v>0</v>
      </c>
      <c r="W241" s="562">
        <f t="shared" si="119"/>
        <v>0</v>
      </c>
      <c r="X241" s="749"/>
      <c r="Y241" s="744"/>
      <c r="Z241" s="743"/>
      <c r="AA241" s="741"/>
      <c r="AB241" s="391"/>
      <c r="AC241" s="401"/>
      <c r="AD241" s="92"/>
      <c r="AE241" s="92"/>
      <c r="AF241" s="92"/>
      <c r="AG241" s="561">
        <f t="shared" si="120"/>
        <v>0</v>
      </c>
      <c r="AH241" s="405"/>
      <c r="AI241" s="405"/>
      <c r="AJ241" s="405"/>
      <c r="AK241" s="405"/>
      <c r="AL241" s="405"/>
      <c r="AM241" s="405"/>
      <c r="AN241" s="405"/>
      <c r="AO241" s="405"/>
      <c r="AP241" s="258"/>
      <c r="AQ241" s="258"/>
      <c r="AR241" s="281"/>
      <c r="AS241" s="281"/>
      <c r="AT241" s="281"/>
      <c r="AU241" s="281"/>
      <c r="AV241" s="281"/>
      <c r="AW241" s="281"/>
      <c r="AX241" s="281"/>
      <c r="AY241" s="281"/>
      <c r="AZ241" s="281"/>
      <c r="BA241" s="281"/>
      <c r="BB241" s="281"/>
      <c r="BC241" s="281"/>
      <c r="BD241" s="281"/>
      <c r="BE241" s="281"/>
      <c r="BF241" s="281"/>
      <c r="BG241" s="281"/>
      <c r="BH241" s="281"/>
      <c r="BI241" s="281"/>
      <c r="BJ241" s="281"/>
      <c r="BK241" s="281"/>
      <c r="BL241" s="281"/>
      <c r="BM241" s="281"/>
      <c r="BN241" s="281"/>
      <c r="BO241" s="281"/>
      <c r="BP241" s="281"/>
      <c r="BQ241" s="281"/>
      <c r="BR241" s="281"/>
      <c r="BS241" s="281"/>
      <c r="BT241" s="281"/>
      <c r="BU241" s="281"/>
      <c r="BV241" s="281"/>
      <c r="BW241" s="281"/>
      <c r="BX241" s="281"/>
      <c r="BY241" s="281"/>
      <c r="BZ241" s="281"/>
    </row>
    <row r="242" spans="1:78" ht="12.75" customHeight="1" x14ac:dyDescent="0.2">
      <c r="A242" s="422" t="s">
        <v>677</v>
      </c>
      <c r="B242" s="43"/>
      <c r="C242" s="481"/>
      <c r="D242" s="481"/>
      <c r="E242" s="37"/>
      <c r="F242" s="426"/>
      <c r="G242" s="426"/>
      <c r="H242" s="450"/>
      <c r="I242" s="483"/>
      <c r="J242" s="817"/>
      <c r="K242" s="817"/>
      <c r="L242" s="711">
        <f t="shared" si="121"/>
        <v>0</v>
      </c>
      <c r="M242" s="711">
        <f t="shared" si="122"/>
        <v>0</v>
      </c>
      <c r="N242" s="485" t="str">
        <f t="shared" si="123"/>
        <v/>
      </c>
      <c r="O242" s="749"/>
      <c r="P242" s="742"/>
      <c r="Q242" s="743"/>
      <c r="R242" s="741"/>
      <c r="S242" s="751"/>
      <c r="T242" s="771"/>
      <c r="U242" s="772"/>
      <c r="V242" s="562">
        <f t="shared" si="115"/>
        <v>0</v>
      </c>
      <c r="W242" s="562">
        <f t="shared" si="119"/>
        <v>0</v>
      </c>
      <c r="X242" s="749"/>
      <c r="Y242" s="744"/>
      <c r="Z242" s="743"/>
      <c r="AA242" s="741"/>
      <c r="AB242" s="391"/>
      <c r="AC242" s="401"/>
      <c r="AD242" s="92"/>
      <c r="AE242" s="92"/>
      <c r="AF242" s="92"/>
      <c r="AG242" s="561">
        <f t="shared" si="120"/>
        <v>0</v>
      </c>
      <c r="AH242" s="405"/>
      <c r="AI242" s="405"/>
      <c r="AJ242" s="405"/>
      <c r="AK242" s="405"/>
      <c r="AL242" s="405"/>
      <c r="AM242" s="405"/>
      <c r="AN242" s="405"/>
      <c r="AO242" s="405"/>
      <c r="AP242" s="258"/>
      <c r="AQ242" s="258"/>
      <c r="AR242" s="281"/>
      <c r="AS242" s="281"/>
      <c r="AT242" s="281"/>
      <c r="AU242" s="281"/>
      <c r="AV242" s="281"/>
      <c r="AW242" s="281"/>
      <c r="AX242" s="281"/>
      <c r="AY242" s="281"/>
      <c r="AZ242" s="281"/>
      <c r="BA242" s="281"/>
      <c r="BB242" s="281"/>
      <c r="BC242" s="281"/>
      <c r="BD242" s="281"/>
      <c r="BE242" s="281"/>
      <c r="BF242" s="281"/>
      <c r="BG242" s="281"/>
      <c r="BH242" s="281"/>
      <c r="BI242" s="281"/>
      <c r="BJ242" s="281"/>
      <c r="BK242" s="281"/>
      <c r="BL242" s="281"/>
      <c r="BM242" s="281"/>
      <c r="BN242" s="281"/>
      <c r="BO242" s="281"/>
      <c r="BP242" s="281"/>
      <c r="BQ242" s="281"/>
      <c r="BR242" s="281"/>
      <c r="BS242" s="281"/>
      <c r="BT242" s="281"/>
      <c r="BU242" s="281"/>
      <c r="BV242" s="281"/>
      <c r="BW242" s="281"/>
      <c r="BX242" s="281"/>
      <c r="BY242" s="281"/>
      <c r="BZ242" s="281"/>
    </row>
    <row r="243" spans="1:78" ht="12.75" customHeight="1" x14ac:dyDescent="0.2">
      <c r="A243" s="422" t="s">
        <v>678</v>
      </c>
      <c r="B243" s="43"/>
      <c r="C243" s="481"/>
      <c r="D243" s="481"/>
      <c r="E243" s="37"/>
      <c r="F243" s="426"/>
      <c r="G243" s="426"/>
      <c r="H243" s="450"/>
      <c r="I243" s="483"/>
      <c r="J243" s="817"/>
      <c r="K243" s="817"/>
      <c r="L243" s="711">
        <f t="shared" si="121"/>
        <v>0</v>
      </c>
      <c r="M243" s="711">
        <f t="shared" si="122"/>
        <v>0</v>
      </c>
      <c r="N243" s="485" t="str">
        <f t="shared" si="123"/>
        <v/>
      </c>
      <c r="O243" s="749"/>
      <c r="P243" s="742"/>
      <c r="Q243" s="743"/>
      <c r="R243" s="741"/>
      <c r="S243" s="751"/>
      <c r="T243" s="771"/>
      <c r="U243" s="772"/>
      <c r="V243" s="562">
        <f>SUM(T243:U243)</f>
        <v>0</v>
      </c>
      <c r="W243" s="562">
        <f t="shared" si="119"/>
        <v>0</v>
      </c>
      <c r="X243" s="749"/>
      <c r="Y243" s="744"/>
      <c r="Z243" s="743"/>
      <c r="AA243" s="741"/>
      <c r="AB243" s="391"/>
      <c r="AC243" s="401"/>
      <c r="AD243" s="92"/>
      <c r="AE243" s="92"/>
      <c r="AF243" s="92"/>
      <c r="AG243" s="561">
        <f t="shared" si="120"/>
        <v>0</v>
      </c>
      <c r="AH243" s="405"/>
      <c r="AI243" s="405"/>
      <c r="AJ243" s="405"/>
      <c r="AK243" s="405"/>
      <c r="AL243" s="405"/>
      <c r="AM243" s="405"/>
      <c r="AN243" s="405"/>
      <c r="AO243" s="405"/>
      <c r="AP243" s="258"/>
      <c r="AQ243" s="258"/>
      <c r="AR243" s="281"/>
      <c r="AS243" s="281"/>
      <c r="AT243" s="281"/>
      <c r="AU243" s="281"/>
      <c r="AV243" s="281"/>
      <c r="AW243" s="281"/>
      <c r="AX243" s="281"/>
      <c r="AY243" s="281"/>
      <c r="AZ243" s="281"/>
      <c r="BA243" s="281"/>
      <c r="BB243" s="281"/>
      <c r="BC243" s="281"/>
      <c r="BD243" s="281"/>
      <c r="BE243" s="281"/>
      <c r="BF243" s="281"/>
      <c r="BG243" s="281"/>
      <c r="BH243" s="281"/>
      <c r="BI243" s="281"/>
      <c r="BJ243" s="281"/>
      <c r="BK243" s="281"/>
      <c r="BL243" s="281"/>
      <c r="BM243" s="281"/>
      <c r="BN243" s="281"/>
      <c r="BO243" s="281"/>
      <c r="BP243" s="281"/>
      <c r="BQ243" s="281"/>
      <c r="BR243" s="281"/>
      <c r="BS243" s="281"/>
      <c r="BT243" s="281"/>
      <c r="BU243" s="281"/>
      <c r="BV243" s="281"/>
      <c r="BW243" s="281"/>
      <c r="BX243" s="281"/>
      <c r="BY243" s="281"/>
      <c r="BZ243" s="281"/>
    </row>
    <row r="244" spans="1:78" ht="12.75" customHeight="1" x14ac:dyDescent="0.2">
      <c r="A244" s="422" t="s">
        <v>765</v>
      </c>
      <c r="B244" s="43"/>
      <c r="C244" s="481"/>
      <c r="D244" s="481"/>
      <c r="E244" s="37"/>
      <c r="F244" s="426"/>
      <c r="G244" s="426"/>
      <c r="H244" s="450"/>
      <c r="I244" s="483"/>
      <c r="J244" s="817"/>
      <c r="K244" s="817"/>
      <c r="L244" s="711">
        <f t="shared" si="121"/>
        <v>0</v>
      </c>
      <c r="M244" s="711">
        <f t="shared" si="122"/>
        <v>0</v>
      </c>
      <c r="N244" s="485" t="str">
        <f t="shared" si="123"/>
        <v/>
      </c>
      <c r="O244" s="749"/>
      <c r="P244" s="742"/>
      <c r="Q244" s="743"/>
      <c r="R244" s="741"/>
      <c r="S244" s="751"/>
      <c r="T244" s="771"/>
      <c r="U244" s="772"/>
      <c r="V244" s="562">
        <f t="shared" ref="V244:V254" si="124">SUM(T244:U244)</f>
        <v>0</v>
      </c>
      <c r="W244" s="562">
        <f t="shared" si="119"/>
        <v>0</v>
      </c>
      <c r="X244" s="749"/>
      <c r="Y244" s="744"/>
      <c r="Z244" s="743"/>
      <c r="AA244" s="741"/>
      <c r="AB244" s="391"/>
      <c r="AC244" s="401"/>
      <c r="AD244" s="92"/>
      <c r="AE244" s="92"/>
      <c r="AF244" s="92"/>
      <c r="AG244" s="561">
        <f t="shared" si="120"/>
        <v>0</v>
      </c>
      <c r="AH244" s="405"/>
      <c r="AI244" s="405"/>
      <c r="AJ244" s="405"/>
      <c r="AK244" s="405"/>
      <c r="AL244" s="405"/>
      <c r="AM244" s="405"/>
      <c r="AN244" s="405"/>
      <c r="AO244" s="405"/>
      <c r="AP244" s="258"/>
      <c r="AQ244" s="258"/>
      <c r="AR244" s="281"/>
      <c r="AS244" s="281"/>
      <c r="AT244" s="281"/>
      <c r="AU244" s="281"/>
      <c r="AV244" s="281"/>
      <c r="AW244" s="281"/>
      <c r="AX244" s="281"/>
      <c r="AY244" s="281"/>
      <c r="AZ244" s="281"/>
      <c r="BA244" s="281"/>
      <c r="BB244" s="281"/>
      <c r="BC244" s="281"/>
      <c r="BD244" s="281"/>
      <c r="BE244" s="281"/>
      <c r="BF244" s="281"/>
      <c r="BG244" s="281"/>
      <c r="BH244" s="281"/>
      <c r="BI244" s="281"/>
      <c r="BJ244" s="281"/>
      <c r="BK244" s="281"/>
      <c r="BL244" s="281"/>
      <c r="BM244" s="281"/>
      <c r="BN244" s="281"/>
      <c r="BO244" s="281"/>
      <c r="BP244" s="281"/>
      <c r="BQ244" s="281"/>
      <c r="BR244" s="281"/>
      <c r="BS244" s="281"/>
      <c r="BT244" s="281"/>
      <c r="BU244" s="281"/>
      <c r="BV244" s="281"/>
      <c r="BW244" s="281"/>
      <c r="BX244" s="281"/>
      <c r="BY244" s="281"/>
      <c r="BZ244" s="281"/>
    </row>
    <row r="245" spans="1:78" ht="12.75" customHeight="1" x14ac:dyDescent="0.2">
      <c r="A245" s="422" t="s">
        <v>766</v>
      </c>
      <c r="B245" s="43"/>
      <c r="C245" s="481"/>
      <c r="D245" s="481"/>
      <c r="E245" s="37"/>
      <c r="F245" s="426"/>
      <c r="G245" s="426"/>
      <c r="H245" s="450"/>
      <c r="I245" s="483"/>
      <c r="J245" s="817"/>
      <c r="K245" s="817"/>
      <c r="L245" s="711">
        <f t="shared" si="121"/>
        <v>0</v>
      </c>
      <c r="M245" s="711">
        <f t="shared" si="122"/>
        <v>0</v>
      </c>
      <c r="N245" s="485" t="str">
        <f t="shared" si="123"/>
        <v/>
      </c>
      <c r="O245" s="749"/>
      <c r="P245" s="742"/>
      <c r="Q245" s="743"/>
      <c r="R245" s="741"/>
      <c r="S245" s="751"/>
      <c r="T245" s="771"/>
      <c r="U245" s="772"/>
      <c r="V245" s="562">
        <f t="shared" si="124"/>
        <v>0</v>
      </c>
      <c r="W245" s="562">
        <f t="shared" si="119"/>
        <v>0</v>
      </c>
      <c r="X245" s="749"/>
      <c r="Y245" s="744"/>
      <c r="Z245" s="743"/>
      <c r="AA245" s="741"/>
      <c r="AB245" s="391"/>
      <c r="AC245" s="401"/>
      <c r="AD245" s="92"/>
      <c r="AE245" s="92"/>
      <c r="AF245" s="92"/>
      <c r="AG245" s="561">
        <f t="shared" si="120"/>
        <v>0</v>
      </c>
      <c r="AH245" s="405"/>
      <c r="AI245" s="405"/>
      <c r="AJ245" s="405"/>
      <c r="AK245" s="405"/>
      <c r="AL245" s="405"/>
      <c r="AM245" s="405"/>
      <c r="AN245" s="405"/>
      <c r="AO245" s="405"/>
      <c r="AP245" s="258"/>
      <c r="AQ245" s="258"/>
      <c r="AR245" s="281"/>
      <c r="AS245" s="281"/>
      <c r="AT245" s="281"/>
      <c r="AU245" s="281"/>
      <c r="AV245" s="281"/>
      <c r="AW245" s="281"/>
      <c r="AX245" s="281"/>
      <c r="AY245" s="281"/>
      <c r="AZ245" s="281"/>
      <c r="BA245" s="281"/>
      <c r="BB245" s="281"/>
      <c r="BC245" s="281"/>
      <c r="BD245" s="281"/>
      <c r="BE245" s="281"/>
      <c r="BF245" s="281"/>
      <c r="BG245" s="281"/>
      <c r="BH245" s="281"/>
      <c r="BI245" s="281"/>
      <c r="BJ245" s="281"/>
      <c r="BK245" s="281"/>
      <c r="BL245" s="281"/>
      <c r="BM245" s="281"/>
      <c r="BN245" s="281"/>
      <c r="BO245" s="281"/>
      <c r="BP245" s="281"/>
      <c r="BQ245" s="281"/>
      <c r="BR245" s="281"/>
      <c r="BS245" s="281"/>
      <c r="BT245" s="281"/>
      <c r="BU245" s="281"/>
      <c r="BV245" s="281"/>
      <c r="BW245" s="281"/>
      <c r="BX245" s="281"/>
      <c r="BY245" s="281"/>
      <c r="BZ245" s="281"/>
    </row>
    <row r="246" spans="1:78" ht="12.75" customHeight="1" x14ac:dyDescent="0.2">
      <c r="A246" s="422" t="s">
        <v>767</v>
      </c>
      <c r="B246" s="43"/>
      <c r="C246" s="481"/>
      <c r="D246" s="481"/>
      <c r="E246" s="37"/>
      <c r="F246" s="426"/>
      <c r="G246" s="426"/>
      <c r="H246" s="450"/>
      <c r="I246" s="483"/>
      <c r="J246" s="817"/>
      <c r="K246" s="817"/>
      <c r="L246" s="711">
        <f t="shared" si="121"/>
        <v>0</v>
      </c>
      <c r="M246" s="711">
        <f t="shared" si="122"/>
        <v>0</v>
      </c>
      <c r="N246" s="485" t="str">
        <f t="shared" si="123"/>
        <v/>
      </c>
      <c r="O246" s="749"/>
      <c r="P246" s="742"/>
      <c r="Q246" s="743"/>
      <c r="R246" s="741"/>
      <c r="S246" s="751"/>
      <c r="T246" s="771"/>
      <c r="U246" s="772"/>
      <c r="V246" s="562">
        <f t="shared" si="124"/>
        <v>0</v>
      </c>
      <c r="W246" s="562">
        <f t="shared" si="119"/>
        <v>0</v>
      </c>
      <c r="X246" s="749"/>
      <c r="Y246" s="744"/>
      <c r="Z246" s="743"/>
      <c r="AA246" s="741"/>
      <c r="AB246" s="391"/>
      <c r="AC246" s="401"/>
      <c r="AD246" s="92"/>
      <c r="AE246" s="92"/>
      <c r="AF246" s="92"/>
      <c r="AG246" s="561">
        <f t="shared" si="120"/>
        <v>0</v>
      </c>
      <c r="AH246" s="405"/>
      <c r="AI246" s="405"/>
      <c r="AJ246" s="405"/>
      <c r="AK246" s="405"/>
      <c r="AL246" s="405"/>
      <c r="AM246" s="405"/>
      <c r="AN246" s="405"/>
      <c r="AO246" s="405"/>
      <c r="AP246" s="258"/>
      <c r="AQ246" s="258"/>
      <c r="AR246" s="281"/>
      <c r="AS246" s="281"/>
      <c r="AT246" s="281"/>
      <c r="AU246" s="281"/>
      <c r="AV246" s="281"/>
      <c r="AW246" s="281"/>
      <c r="AX246" s="281"/>
      <c r="AY246" s="281"/>
      <c r="AZ246" s="281"/>
      <c r="BA246" s="281"/>
      <c r="BB246" s="281"/>
      <c r="BC246" s="281"/>
      <c r="BD246" s="281"/>
      <c r="BE246" s="281"/>
      <c r="BF246" s="281"/>
      <c r="BG246" s="281"/>
      <c r="BH246" s="281"/>
      <c r="BI246" s="281"/>
      <c r="BJ246" s="281"/>
      <c r="BK246" s="281"/>
      <c r="BL246" s="281"/>
      <c r="BM246" s="281"/>
      <c r="BN246" s="281"/>
      <c r="BO246" s="281"/>
      <c r="BP246" s="281"/>
      <c r="BQ246" s="281"/>
      <c r="BR246" s="281"/>
      <c r="BS246" s="281"/>
      <c r="BT246" s="281"/>
      <c r="BU246" s="281"/>
      <c r="BV246" s="281"/>
      <c r="BW246" s="281"/>
      <c r="BX246" s="281"/>
      <c r="BY246" s="281"/>
      <c r="BZ246" s="281"/>
    </row>
    <row r="247" spans="1:78" ht="12.75" customHeight="1" x14ac:dyDescent="0.2">
      <c r="A247" s="422" t="s">
        <v>768</v>
      </c>
      <c r="B247" s="43"/>
      <c r="C247" s="481"/>
      <c r="D247" s="481"/>
      <c r="E247" s="37"/>
      <c r="F247" s="426"/>
      <c r="G247" s="426"/>
      <c r="H247" s="450"/>
      <c r="I247" s="483"/>
      <c r="J247" s="817"/>
      <c r="K247" s="817"/>
      <c r="L247" s="711">
        <f t="shared" si="121"/>
        <v>0</v>
      </c>
      <c r="M247" s="711">
        <f t="shared" si="122"/>
        <v>0</v>
      </c>
      <c r="N247" s="485" t="str">
        <f t="shared" si="123"/>
        <v/>
      </c>
      <c r="O247" s="749"/>
      <c r="P247" s="742"/>
      <c r="Q247" s="743"/>
      <c r="R247" s="741"/>
      <c r="S247" s="751"/>
      <c r="T247" s="771"/>
      <c r="U247" s="772"/>
      <c r="V247" s="562">
        <f t="shared" si="124"/>
        <v>0</v>
      </c>
      <c r="W247" s="562">
        <f t="shared" si="119"/>
        <v>0</v>
      </c>
      <c r="X247" s="749"/>
      <c r="Y247" s="744"/>
      <c r="Z247" s="743"/>
      <c r="AA247" s="741"/>
      <c r="AB247" s="391"/>
      <c r="AC247" s="401"/>
      <c r="AD247" s="92"/>
      <c r="AE247" s="92"/>
      <c r="AF247" s="92"/>
      <c r="AG247" s="561">
        <f t="shared" si="120"/>
        <v>0</v>
      </c>
      <c r="AH247" s="405"/>
      <c r="AI247" s="405"/>
      <c r="AJ247" s="405"/>
      <c r="AK247" s="405"/>
      <c r="AL247" s="405"/>
      <c r="AM247" s="405"/>
      <c r="AN247" s="405"/>
      <c r="AO247" s="405"/>
      <c r="AP247" s="258"/>
      <c r="AQ247" s="258"/>
      <c r="AR247" s="281"/>
      <c r="AS247" s="281"/>
      <c r="AT247" s="281"/>
      <c r="AU247" s="281"/>
      <c r="AV247" s="281"/>
      <c r="AW247" s="281"/>
      <c r="AX247" s="281"/>
      <c r="AY247" s="281"/>
      <c r="AZ247" s="281"/>
      <c r="BA247" s="281"/>
      <c r="BB247" s="281"/>
      <c r="BC247" s="281"/>
      <c r="BD247" s="281"/>
      <c r="BE247" s="281"/>
      <c r="BF247" s="281"/>
      <c r="BG247" s="281"/>
      <c r="BH247" s="281"/>
      <c r="BI247" s="281"/>
      <c r="BJ247" s="281"/>
      <c r="BK247" s="281"/>
      <c r="BL247" s="281"/>
      <c r="BM247" s="281"/>
      <c r="BN247" s="281"/>
      <c r="BO247" s="281"/>
      <c r="BP247" s="281"/>
      <c r="BQ247" s="281"/>
      <c r="BR247" s="281"/>
      <c r="BS247" s="281"/>
      <c r="BT247" s="281"/>
      <c r="BU247" s="281"/>
      <c r="BV247" s="281"/>
      <c r="BW247" s="281"/>
      <c r="BX247" s="281"/>
      <c r="BY247" s="281"/>
      <c r="BZ247" s="281"/>
    </row>
    <row r="248" spans="1:78" ht="12.75" customHeight="1" x14ac:dyDescent="0.2">
      <c r="A248" s="422" t="s">
        <v>769</v>
      </c>
      <c r="B248" s="43"/>
      <c r="C248" s="481"/>
      <c r="D248" s="481"/>
      <c r="E248" s="37"/>
      <c r="F248" s="426"/>
      <c r="G248" s="426"/>
      <c r="H248" s="450"/>
      <c r="I248" s="483"/>
      <c r="J248" s="817"/>
      <c r="K248" s="817"/>
      <c r="L248" s="711">
        <f t="shared" si="121"/>
        <v>0</v>
      </c>
      <c r="M248" s="711">
        <f t="shared" si="122"/>
        <v>0</v>
      </c>
      <c r="N248" s="485" t="str">
        <f t="shared" si="123"/>
        <v/>
      </c>
      <c r="O248" s="749"/>
      <c r="P248" s="742"/>
      <c r="Q248" s="743"/>
      <c r="R248" s="741"/>
      <c r="S248" s="751"/>
      <c r="T248" s="771"/>
      <c r="U248" s="772"/>
      <c r="V248" s="562">
        <f t="shared" si="124"/>
        <v>0</v>
      </c>
      <c r="W248" s="562">
        <f t="shared" si="119"/>
        <v>0</v>
      </c>
      <c r="X248" s="749"/>
      <c r="Y248" s="744"/>
      <c r="Z248" s="743"/>
      <c r="AA248" s="741"/>
      <c r="AB248" s="391"/>
      <c r="AC248" s="401"/>
      <c r="AD248" s="92"/>
      <c r="AE248" s="92"/>
      <c r="AF248" s="92"/>
      <c r="AG248" s="561">
        <f t="shared" si="120"/>
        <v>0</v>
      </c>
      <c r="AH248" s="405"/>
      <c r="AI248" s="405"/>
      <c r="AJ248" s="405"/>
      <c r="AK248" s="405"/>
      <c r="AL248" s="405"/>
      <c r="AM248" s="405"/>
      <c r="AN248" s="405"/>
      <c r="AO248" s="405"/>
      <c r="AP248" s="258"/>
      <c r="AQ248" s="258"/>
      <c r="AR248" s="281"/>
      <c r="AS248" s="281"/>
      <c r="AT248" s="281"/>
      <c r="AU248" s="281"/>
      <c r="AV248" s="281"/>
      <c r="AW248" s="281"/>
      <c r="AX248" s="281"/>
      <c r="AY248" s="281"/>
      <c r="AZ248" s="281"/>
      <c r="BA248" s="281"/>
      <c r="BB248" s="281"/>
      <c r="BC248" s="281"/>
      <c r="BD248" s="281"/>
      <c r="BE248" s="281"/>
      <c r="BF248" s="281"/>
      <c r="BG248" s="281"/>
      <c r="BH248" s="281"/>
      <c r="BI248" s="281"/>
      <c r="BJ248" s="281"/>
      <c r="BK248" s="281"/>
      <c r="BL248" s="281"/>
      <c r="BM248" s="281"/>
      <c r="BN248" s="281"/>
      <c r="BO248" s="281"/>
      <c r="BP248" s="281"/>
      <c r="BQ248" s="281"/>
      <c r="BR248" s="281"/>
      <c r="BS248" s="281"/>
      <c r="BT248" s="281"/>
      <c r="BU248" s="281"/>
      <c r="BV248" s="281"/>
      <c r="BW248" s="281"/>
      <c r="BX248" s="281"/>
      <c r="BY248" s="281"/>
      <c r="BZ248" s="281"/>
    </row>
    <row r="249" spans="1:78" ht="12.75" customHeight="1" x14ac:dyDescent="0.2">
      <c r="A249" s="422" t="s">
        <v>770</v>
      </c>
      <c r="B249" s="43"/>
      <c r="C249" s="481"/>
      <c r="D249" s="481"/>
      <c r="E249" s="37"/>
      <c r="F249" s="426"/>
      <c r="G249" s="426"/>
      <c r="H249" s="450"/>
      <c r="I249" s="483"/>
      <c r="J249" s="817"/>
      <c r="K249" s="817"/>
      <c r="L249" s="711">
        <f t="shared" si="121"/>
        <v>0</v>
      </c>
      <c r="M249" s="711">
        <f t="shared" si="122"/>
        <v>0</v>
      </c>
      <c r="N249" s="485" t="str">
        <f t="shared" si="123"/>
        <v/>
      </c>
      <c r="O249" s="749"/>
      <c r="P249" s="742"/>
      <c r="Q249" s="743"/>
      <c r="R249" s="741"/>
      <c r="S249" s="751"/>
      <c r="T249" s="771"/>
      <c r="U249" s="772"/>
      <c r="V249" s="562">
        <f t="shared" si="124"/>
        <v>0</v>
      </c>
      <c r="W249" s="562">
        <f t="shared" si="119"/>
        <v>0</v>
      </c>
      <c r="X249" s="749"/>
      <c r="Y249" s="744"/>
      <c r="Z249" s="743"/>
      <c r="AA249" s="741"/>
      <c r="AB249" s="391"/>
      <c r="AC249" s="401"/>
      <c r="AD249" s="92"/>
      <c r="AE249" s="92"/>
      <c r="AF249" s="92"/>
      <c r="AG249" s="561">
        <f t="shared" si="120"/>
        <v>0</v>
      </c>
      <c r="AH249" s="405"/>
      <c r="AI249" s="405"/>
      <c r="AJ249" s="405"/>
      <c r="AK249" s="405"/>
      <c r="AL249" s="405"/>
      <c r="AM249" s="405"/>
      <c r="AN249" s="405"/>
      <c r="AO249" s="405"/>
      <c r="AP249" s="258"/>
      <c r="AQ249" s="258"/>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c r="BM249" s="281"/>
      <c r="BN249" s="281"/>
      <c r="BO249" s="281"/>
      <c r="BP249" s="281"/>
      <c r="BQ249" s="281"/>
      <c r="BR249" s="281"/>
      <c r="BS249" s="281"/>
      <c r="BT249" s="281"/>
      <c r="BU249" s="281"/>
      <c r="BV249" s="281"/>
      <c r="BW249" s="281"/>
      <c r="BX249" s="281"/>
      <c r="BY249" s="281"/>
      <c r="BZ249" s="281"/>
    </row>
    <row r="250" spans="1:78" ht="12.75" customHeight="1" x14ac:dyDescent="0.2">
      <c r="A250" s="422" t="s">
        <v>771</v>
      </c>
      <c r="B250" s="43"/>
      <c r="C250" s="481"/>
      <c r="D250" s="481"/>
      <c r="E250" s="37"/>
      <c r="F250" s="426"/>
      <c r="G250" s="426"/>
      <c r="H250" s="450"/>
      <c r="I250" s="483"/>
      <c r="J250" s="817"/>
      <c r="K250" s="817"/>
      <c r="L250" s="711">
        <f t="shared" si="121"/>
        <v>0</v>
      </c>
      <c r="M250" s="711">
        <f t="shared" si="122"/>
        <v>0</v>
      </c>
      <c r="N250" s="485" t="str">
        <f t="shared" si="123"/>
        <v/>
      </c>
      <c r="O250" s="749"/>
      <c r="P250" s="742"/>
      <c r="Q250" s="743"/>
      <c r="R250" s="741"/>
      <c r="S250" s="751"/>
      <c r="T250" s="771"/>
      <c r="U250" s="772"/>
      <c r="V250" s="562">
        <f t="shared" si="124"/>
        <v>0</v>
      </c>
      <c r="W250" s="562">
        <f t="shared" si="119"/>
        <v>0</v>
      </c>
      <c r="X250" s="749"/>
      <c r="Y250" s="744"/>
      <c r="Z250" s="743"/>
      <c r="AA250" s="741"/>
      <c r="AB250" s="391"/>
      <c r="AC250" s="401"/>
      <c r="AD250" s="92"/>
      <c r="AE250" s="92"/>
      <c r="AF250" s="92"/>
      <c r="AG250" s="561">
        <f t="shared" si="120"/>
        <v>0</v>
      </c>
      <c r="AH250" s="405"/>
      <c r="AI250" s="405"/>
      <c r="AJ250" s="405"/>
      <c r="AK250" s="405"/>
      <c r="AL250" s="405"/>
      <c r="AM250" s="405"/>
      <c r="AN250" s="405"/>
      <c r="AO250" s="405"/>
      <c r="AP250" s="258"/>
      <c r="AQ250" s="258"/>
      <c r="AR250" s="281"/>
      <c r="AS250" s="281"/>
      <c r="AT250" s="281"/>
      <c r="AU250" s="281"/>
      <c r="AV250" s="281"/>
      <c r="AW250" s="281"/>
      <c r="AX250" s="281"/>
      <c r="AY250" s="281"/>
      <c r="AZ250" s="281"/>
      <c r="BA250" s="281"/>
      <c r="BB250" s="281"/>
      <c r="BC250" s="281"/>
      <c r="BD250" s="281"/>
      <c r="BE250" s="281"/>
      <c r="BF250" s="281"/>
      <c r="BG250" s="281"/>
      <c r="BH250" s="281"/>
      <c r="BI250" s="281"/>
      <c r="BJ250" s="281"/>
      <c r="BK250" s="281"/>
      <c r="BL250" s="281"/>
      <c r="BM250" s="281"/>
      <c r="BN250" s="281"/>
      <c r="BO250" s="281"/>
      <c r="BP250" s="281"/>
      <c r="BQ250" s="281"/>
      <c r="BR250" s="281"/>
      <c r="BS250" s="281"/>
      <c r="BT250" s="281"/>
      <c r="BU250" s="281"/>
      <c r="BV250" s="281"/>
      <c r="BW250" s="281"/>
      <c r="BX250" s="281"/>
      <c r="BY250" s="281"/>
      <c r="BZ250" s="281"/>
    </row>
    <row r="251" spans="1:78" ht="12.75" customHeight="1" x14ac:dyDescent="0.2">
      <c r="A251" s="422" t="s">
        <v>772</v>
      </c>
      <c r="B251" s="43"/>
      <c r="C251" s="481"/>
      <c r="D251" s="481"/>
      <c r="E251" s="37"/>
      <c r="F251" s="426"/>
      <c r="G251" s="426"/>
      <c r="H251" s="450"/>
      <c r="I251" s="483"/>
      <c r="J251" s="817"/>
      <c r="K251" s="817"/>
      <c r="L251" s="711">
        <f t="shared" si="121"/>
        <v>0</v>
      </c>
      <c r="M251" s="711">
        <f t="shared" si="122"/>
        <v>0</v>
      </c>
      <c r="N251" s="485" t="str">
        <f t="shared" si="123"/>
        <v/>
      </c>
      <c r="O251" s="749"/>
      <c r="P251" s="742"/>
      <c r="Q251" s="743"/>
      <c r="R251" s="741"/>
      <c r="S251" s="751"/>
      <c r="T251" s="771"/>
      <c r="U251" s="772"/>
      <c r="V251" s="562">
        <f t="shared" si="124"/>
        <v>0</v>
      </c>
      <c r="W251" s="562">
        <f t="shared" si="119"/>
        <v>0</v>
      </c>
      <c r="X251" s="749"/>
      <c r="Y251" s="744"/>
      <c r="Z251" s="743"/>
      <c r="AA251" s="741"/>
      <c r="AB251" s="391"/>
      <c r="AC251" s="401"/>
      <c r="AD251" s="92"/>
      <c r="AE251" s="92"/>
      <c r="AF251" s="92"/>
      <c r="AG251" s="561">
        <f t="shared" si="120"/>
        <v>0</v>
      </c>
      <c r="AH251" s="405"/>
      <c r="AI251" s="405"/>
      <c r="AJ251" s="405"/>
      <c r="AK251" s="405"/>
      <c r="AL251" s="405"/>
      <c r="AM251" s="405"/>
      <c r="AN251" s="405"/>
      <c r="AO251" s="405"/>
      <c r="AP251" s="258"/>
      <c r="AQ251" s="258"/>
      <c r="AR251" s="281"/>
      <c r="AS251" s="281"/>
      <c r="AT251" s="281"/>
      <c r="AU251" s="281"/>
      <c r="AV251" s="281"/>
      <c r="AW251" s="281"/>
      <c r="AX251" s="281"/>
      <c r="AY251" s="281"/>
      <c r="AZ251" s="281"/>
      <c r="BA251" s="281"/>
      <c r="BB251" s="281"/>
      <c r="BC251" s="281"/>
      <c r="BD251" s="281"/>
      <c r="BE251" s="281"/>
      <c r="BF251" s="281"/>
      <c r="BG251" s="281"/>
      <c r="BH251" s="281"/>
      <c r="BI251" s="281"/>
      <c r="BJ251" s="281"/>
      <c r="BK251" s="281"/>
      <c r="BL251" s="281"/>
      <c r="BM251" s="281"/>
      <c r="BN251" s="281"/>
      <c r="BO251" s="281"/>
      <c r="BP251" s="281"/>
      <c r="BQ251" s="281"/>
      <c r="BR251" s="281"/>
      <c r="BS251" s="281"/>
      <c r="BT251" s="281"/>
      <c r="BU251" s="281"/>
      <c r="BV251" s="281"/>
      <c r="BW251" s="281"/>
      <c r="BX251" s="281"/>
      <c r="BY251" s="281"/>
      <c r="BZ251" s="281"/>
    </row>
    <row r="252" spans="1:78" ht="12.75" customHeight="1" x14ac:dyDescent="0.2">
      <c r="A252" s="422" t="s">
        <v>773</v>
      </c>
      <c r="B252" s="43"/>
      <c r="C252" s="481"/>
      <c r="D252" s="481"/>
      <c r="E252" s="37"/>
      <c r="F252" s="426"/>
      <c r="G252" s="426"/>
      <c r="H252" s="450"/>
      <c r="I252" s="483"/>
      <c r="J252" s="817"/>
      <c r="K252" s="817"/>
      <c r="L252" s="711">
        <f t="shared" si="121"/>
        <v>0</v>
      </c>
      <c r="M252" s="711">
        <f t="shared" si="122"/>
        <v>0</v>
      </c>
      <c r="N252" s="485" t="str">
        <f t="shared" si="123"/>
        <v/>
      </c>
      <c r="O252" s="749"/>
      <c r="P252" s="742"/>
      <c r="Q252" s="743"/>
      <c r="R252" s="741"/>
      <c r="S252" s="751"/>
      <c r="T252" s="771"/>
      <c r="U252" s="772"/>
      <c r="V252" s="562">
        <f t="shared" si="124"/>
        <v>0</v>
      </c>
      <c r="W252" s="562">
        <f t="shared" si="119"/>
        <v>0</v>
      </c>
      <c r="X252" s="749"/>
      <c r="Y252" s="744"/>
      <c r="Z252" s="743"/>
      <c r="AA252" s="741"/>
      <c r="AB252" s="391"/>
      <c r="AC252" s="401"/>
      <c r="AD252" s="92"/>
      <c r="AE252" s="92"/>
      <c r="AF252" s="92"/>
      <c r="AG252" s="561">
        <f t="shared" si="120"/>
        <v>0</v>
      </c>
      <c r="AH252" s="405"/>
      <c r="AI252" s="405"/>
      <c r="AJ252" s="405"/>
      <c r="AK252" s="405"/>
      <c r="AL252" s="405"/>
      <c r="AM252" s="405"/>
      <c r="AN252" s="405"/>
      <c r="AO252" s="405"/>
      <c r="AP252" s="258"/>
      <c r="AQ252" s="258"/>
      <c r="AR252" s="281"/>
      <c r="AS252" s="281"/>
      <c r="AT252" s="281"/>
      <c r="AU252" s="281"/>
      <c r="AV252" s="281"/>
      <c r="AW252" s="281"/>
      <c r="AX252" s="281"/>
      <c r="AY252" s="281"/>
      <c r="AZ252" s="281"/>
      <c r="BA252" s="281"/>
      <c r="BB252" s="281"/>
      <c r="BC252" s="281"/>
      <c r="BD252" s="281"/>
      <c r="BE252" s="281"/>
      <c r="BF252" s="281"/>
      <c r="BG252" s="281"/>
      <c r="BH252" s="281"/>
      <c r="BI252" s="281"/>
      <c r="BJ252" s="281"/>
      <c r="BK252" s="281"/>
      <c r="BL252" s="281"/>
      <c r="BM252" s="281"/>
      <c r="BN252" s="281"/>
      <c r="BO252" s="281"/>
      <c r="BP252" s="281"/>
      <c r="BQ252" s="281"/>
      <c r="BR252" s="281"/>
      <c r="BS252" s="281"/>
      <c r="BT252" s="281"/>
      <c r="BU252" s="281"/>
      <c r="BV252" s="281"/>
      <c r="BW252" s="281"/>
      <c r="BX252" s="281"/>
      <c r="BY252" s="281"/>
      <c r="BZ252" s="281"/>
    </row>
    <row r="253" spans="1:78" ht="12.75" customHeight="1" x14ac:dyDescent="0.2">
      <c r="A253" s="422" t="s">
        <v>774</v>
      </c>
      <c r="B253" s="43"/>
      <c r="C253" s="481"/>
      <c r="D253" s="481"/>
      <c r="E253" s="37"/>
      <c r="F253" s="426"/>
      <c r="G253" s="426"/>
      <c r="H253" s="450"/>
      <c r="I253" s="483"/>
      <c r="J253" s="817"/>
      <c r="K253" s="817"/>
      <c r="L253" s="711">
        <f t="shared" si="121"/>
        <v>0</v>
      </c>
      <c r="M253" s="711">
        <f t="shared" si="122"/>
        <v>0</v>
      </c>
      <c r="N253" s="485" t="str">
        <f t="shared" si="123"/>
        <v/>
      </c>
      <c r="O253" s="749"/>
      <c r="P253" s="742"/>
      <c r="Q253" s="743"/>
      <c r="R253" s="741"/>
      <c r="S253" s="751"/>
      <c r="T253" s="771"/>
      <c r="U253" s="772"/>
      <c r="V253" s="562">
        <f t="shared" si="124"/>
        <v>0</v>
      </c>
      <c r="W253" s="562">
        <f t="shared" si="119"/>
        <v>0</v>
      </c>
      <c r="X253" s="749"/>
      <c r="Y253" s="744"/>
      <c r="Z253" s="743"/>
      <c r="AA253" s="741"/>
      <c r="AB253" s="391"/>
      <c r="AC253" s="401"/>
      <c r="AD253" s="92"/>
      <c r="AE253" s="92"/>
      <c r="AF253" s="92"/>
      <c r="AG253" s="561">
        <f t="shared" si="120"/>
        <v>0</v>
      </c>
      <c r="AH253" s="405"/>
      <c r="AI253" s="405"/>
      <c r="AJ253" s="405"/>
      <c r="AK253" s="405"/>
      <c r="AL253" s="405"/>
      <c r="AM253" s="405"/>
      <c r="AN253" s="405"/>
      <c r="AO253" s="405"/>
      <c r="AP253" s="258"/>
      <c r="AQ253" s="258"/>
      <c r="AR253" s="281"/>
      <c r="AS253" s="281"/>
      <c r="AT253" s="281"/>
      <c r="AU253" s="281"/>
      <c r="AV253" s="281"/>
      <c r="AW253" s="281"/>
      <c r="AX253" s="281"/>
      <c r="AY253" s="281"/>
      <c r="AZ253" s="281"/>
      <c r="BA253" s="281"/>
      <c r="BB253" s="281"/>
      <c r="BC253" s="281"/>
      <c r="BD253" s="281"/>
      <c r="BE253" s="281"/>
      <c r="BF253" s="281"/>
      <c r="BG253" s="281"/>
      <c r="BH253" s="281"/>
      <c r="BI253" s="281"/>
      <c r="BJ253" s="281"/>
      <c r="BK253" s="281"/>
      <c r="BL253" s="281"/>
      <c r="BM253" s="281"/>
      <c r="BN253" s="281"/>
      <c r="BO253" s="281"/>
      <c r="BP253" s="281"/>
      <c r="BQ253" s="281"/>
      <c r="BR253" s="281"/>
      <c r="BS253" s="281"/>
      <c r="BT253" s="281"/>
      <c r="BU253" s="281"/>
      <c r="BV253" s="281"/>
      <c r="BW253" s="281"/>
      <c r="BX253" s="281"/>
      <c r="BY253" s="281"/>
      <c r="BZ253" s="281"/>
    </row>
    <row r="254" spans="1:78" ht="12.75" customHeight="1" x14ac:dyDescent="0.2">
      <c r="A254" s="422" t="s">
        <v>775</v>
      </c>
      <c r="B254" s="43"/>
      <c r="C254" s="481"/>
      <c r="D254" s="481"/>
      <c r="E254" s="37"/>
      <c r="F254" s="426"/>
      <c r="G254" s="426"/>
      <c r="H254" s="450"/>
      <c r="I254" s="483"/>
      <c r="J254" s="817"/>
      <c r="K254" s="817"/>
      <c r="L254" s="711">
        <f t="shared" si="121"/>
        <v>0</v>
      </c>
      <c r="M254" s="711">
        <f t="shared" si="122"/>
        <v>0</v>
      </c>
      <c r="N254" s="485" t="str">
        <f t="shared" si="123"/>
        <v/>
      </c>
      <c r="O254" s="749"/>
      <c r="P254" s="742"/>
      <c r="Q254" s="743"/>
      <c r="R254" s="741"/>
      <c r="S254" s="751"/>
      <c r="T254" s="771"/>
      <c r="U254" s="772"/>
      <c r="V254" s="562">
        <f t="shared" si="124"/>
        <v>0</v>
      </c>
      <c r="W254" s="562">
        <f t="shared" si="119"/>
        <v>0</v>
      </c>
      <c r="X254" s="749"/>
      <c r="Y254" s="744"/>
      <c r="Z254" s="743"/>
      <c r="AA254" s="741"/>
      <c r="AB254" s="391"/>
      <c r="AC254" s="401"/>
      <c r="AD254" s="92"/>
      <c r="AE254" s="92"/>
      <c r="AF254" s="92"/>
      <c r="AG254" s="561">
        <f t="shared" si="120"/>
        <v>0</v>
      </c>
      <c r="AH254" s="405"/>
      <c r="AI254" s="405"/>
      <c r="AJ254" s="405"/>
      <c r="AK254" s="405"/>
      <c r="AL254" s="405"/>
      <c r="AM254" s="405"/>
      <c r="AN254" s="405"/>
      <c r="AO254" s="405"/>
      <c r="AP254" s="258"/>
      <c r="AQ254" s="258"/>
      <c r="AR254" s="281"/>
      <c r="AS254" s="281"/>
      <c r="AT254" s="281"/>
      <c r="AU254" s="281"/>
      <c r="AV254" s="281"/>
      <c r="AW254" s="281"/>
      <c r="AX254" s="281"/>
      <c r="AY254" s="281"/>
      <c r="AZ254" s="281"/>
      <c r="BA254" s="281"/>
      <c r="BB254" s="281"/>
      <c r="BC254" s="281"/>
      <c r="BD254" s="281"/>
      <c r="BE254" s="281"/>
      <c r="BF254" s="281"/>
      <c r="BG254" s="281"/>
      <c r="BH254" s="281"/>
      <c r="BI254" s="281"/>
      <c r="BJ254" s="281"/>
      <c r="BK254" s="281"/>
      <c r="BL254" s="281"/>
      <c r="BM254" s="281"/>
      <c r="BN254" s="281"/>
      <c r="BO254" s="281"/>
      <c r="BP254" s="281"/>
      <c r="BQ254" s="281"/>
      <c r="BR254" s="281"/>
      <c r="BS254" s="281"/>
      <c r="BT254" s="281"/>
      <c r="BU254" s="281"/>
      <c r="BV254" s="281"/>
      <c r="BW254" s="281"/>
      <c r="BX254" s="281"/>
      <c r="BY254" s="281"/>
      <c r="BZ254" s="281"/>
    </row>
    <row r="255" spans="1:78" ht="12.75" customHeight="1" x14ac:dyDescent="0.2">
      <c r="A255" s="422" t="s">
        <v>877</v>
      </c>
      <c r="B255" s="43"/>
      <c r="C255" s="481"/>
      <c r="D255" s="481"/>
      <c r="E255" s="37"/>
      <c r="F255" s="426"/>
      <c r="G255" s="426"/>
      <c r="H255" s="450"/>
      <c r="I255" s="483"/>
      <c r="J255" s="817"/>
      <c r="K255" s="817"/>
      <c r="L255" s="711">
        <f t="shared" si="121"/>
        <v>0</v>
      </c>
      <c r="M255" s="711">
        <f t="shared" si="122"/>
        <v>0</v>
      </c>
      <c r="N255" s="485" t="str">
        <f t="shared" si="123"/>
        <v/>
      </c>
      <c r="O255" s="749"/>
      <c r="P255" s="742"/>
      <c r="Q255" s="743"/>
      <c r="R255" s="741"/>
      <c r="S255" s="751"/>
      <c r="T255" s="771"/>
      <c r="U255" s="772"/>
      <c r="V255" s="562">
        <f t="shared" ref="V255:V284" si="125">SUM(T255:U255)</f>
        <v>0</v>
      </c>
      <c r="W255" s="562">
        <f t="shared" ref="W255:W284" si="126">E255-V255</f>
        <v>0</v>
      </c>
      <c r="X255" s="749"/>
      <c r="Y255" s="744"/>
      <c r="Z255" s="743"/>
      <c r="AA255" s="741"/>
      <c r="AB255" s="391"/>
      <c r="AC255" s="401"/>
      <c r="AD255" s="92"/>
      <c r="AE255" s="92"/>
      <c r="AF255" s="92"/>
      <c r="AG255" s="561">
        <f t="shared" si="120"/>
        <v>0</v>
      </c>
      <c r="AH255" s="405"/>
      <c r="AI255" s="405"/>
      <c r="AJ255" s="405"/>
      <c r="AK255" s="405"/>
      <c r="AL255" s="405"/>
      <c r="AM255" s="405"/>
      <c r="AN255" s="405"/>
      <c r="AO255" s="405"/>
      <c r="AP255" s="258"/>
      <c r="AQ255" s="258"/>
      <c r="AR255" s="281"/>
      <c r="AS255" s="281"/>
      <c r="AT255" s="281"/>
      <c r="AU255" s="281"/>
      <c r="AV255" s="281"/>
      <c r="AW255" s="281"/>
      <c r="AX255" s="281"/>
      <c r="AY255" s="281"/>
      <c r="AZ255" s="281"/>
      <c r="BA255" s="281"/>
      <c r="BB255" s="281"/>
      <c r="BC255" s="281"/>
      <c r="BD255" s="281"/>
      <c r="BE255" s="281"/>
      <c r="BF255" s="281"/>
      <c r="BG255" s="281"/>
      <c r="BH255" s="281"/>
      <c r="BI255" s="281"/>
      <c r="BJ255" s="281"/>
      <c r="BK255" s="281"/>
      <c r="BL255" s="281"/>
      <c r="BM255" s="281"/>
      <c r="BN255" s="281"/>
      <c r="BO255" s="281"/>
      <c r="BP255" s="281"/>
      <c r="BQ255" s="281"/>
      <c r="BR255" s="281"/>
      <c r="BS255" s="281"/>
      <c r="BT255" s="281"/>
      <c r="BU255" s="281"/>
      <c r="BV255" s="281"/>
      <c r="BW255" s="281"/>
      <c r="BX255" s="281"/>
      <c r="BY255" s="281"/>
      <c r="BZ255" s="281"/>
    </row>
    <row r="256" spans="1:78" ht="12.75" customHeight="1" x14ac:dyDescent="0.2">
      <c r="A256" s="422" t="s">
        <v>878</v>
      </c>
      <c r="B256" s="43"/>
      <c r="C256" s="481"/>
      <c r="D256" s="481"/>
      <c r="E256" s="37"/>
      <c r="F256" s="426"/>
      <c r="G256" s="426"/>
      <c r="H256" s="450"/>
      <c r="I256" s="483"/>
      <c r="J256" s="817"/>
      <c r="K256" s="817"/>
      <c r="L256" s="711">
        <f t="shared" si="121"/>
        <v>0</v>
      </c>
      <c r="M256" s="711">
        <f t="shared" si="122"/>
        <v>0</v>
      </c>
      <c r="N256" s="485" t="str">
        <f t="shared" si="123"/>
        <v/>
      </c>
      <c r="O256" s="749"/>
      <c r="P256" s="742"/>
      <c r="Q256" s="743"/>
      <c r="R256" s="741"/>
      <c r="S256" s="751"/>
      <c r="T256" s="771"/>
      <c r="U256" s="772"/>
      <c r="V256" s="562">
        <f t="shared" si="125"/>
        <v>0</v>
      </c>
      <c r="W256" s="562">
        <f t="shared" si="126"/>
        <v>0</v>
      </c>
      <c r="X256" s="749"/>
      <c r="Y256" s="744"/>
      <c r="Z256" s="743"/>
      <c r="AA256" s="741"/>
      <c r="AB256" s="391"/>
      <c r="AC256" s="401"/>
      <c r="AD256" s="92"/>
      <c r="AE256" s="92"/>
      <c r="AF256" s="92"/>
      <c r="AG256" s="561">
        <f t="shared" si="120"/>
        <v>0</v>
      </c>
      <c r="AH256" s="405"/>
      <c r="AI256" s="405"/>
      <c r="AJ256" s="405"/>
      <c r="AK256" s="405"/>
      <c r="AL256" s="405"/>
      <c r="AM256" s="405"/>
      <c r="AN256" s="405"/>
      <c r="AO256" s="405"/>
      <c r="AP256" s="258"/>
      <c r="AQ256" s="258"/>
      <c r="AR256" s="281"/>
      <c r="AS256" s="281"/>
      <c r="AT256" s="281"/>
      <c r="AU256" s="281"/>
      <c r="AV256" s="281"/>
      <c r="AW256" s="281"/>
      <c r="AX256" s="281"/>
      <c r="AY256" s="281"/>
      <c r="AZ256" s="281"/>
      <c r="BA256" s="281"/>
      <c r="BB256" s="281"/>
      <c r="BC256" s="281"/>
      <c r="BD256" s="281"/>
      <c r="BE256" s="281"/>
      <c r="BF256" s="281"/>
      <c r="BG256" s="281"/>
      <c r="BH256" s="281"/>
      <c r="BI256" s="281"/>
      <c r="BJ256" s="281"/>
      <c r="BK256" s="281"/>
      <c r="BL256" s="281"/>
      <c r="BM256" s="281"/>
      <c r="BN256" s="281"/>
      <c r="BO256" s="281"/>
      <c r="BP256" s="281"/>
      <c r="BQ256" s="281"/>
      <c r="BR256" s="281"/>
      <c r="BS256" s="281"/>
      <c r="BT256" s="281"/>
      <c r="BU256" s="281"/>
      <c r="BV256" s="281"/>
      <c r="BW256" s="281"/>
      <c r="BX256" s="281"/>
      <c r="BY256" s="281"/>
      <c r="BZ256" s="281"/>
    </row>
    <row r="257" spans="1:78" ht="12.75" customHeight="1" x14ac:dyDescent="0.2">
      <c r="A257" s="422" t="s">
        <v>879</v>
      </c>
      <c r="B257" s="43"/>
      <c r="C257" s="481"/>
      <c r="D257" s="481"/>
      <c r="E257" s="37"/>
      <c r="F257" s="426"/>
      <c r="G257" s="426"/>
      <c r="H257" s="450"/>
      <c r="I257" s="483"/>
      <c r="J257" s="817"/>
      <c r="K257" s="817"/>
      <c r="L257" s="711">
        <f t="shared" si="121"/>
        <v>0</v>
      </c>
      <c r="M257" s="711">
        <f t="shared" si="122"/>
        <v>0</v>
      </c>
      <c r="N257" s="485" t="str">
        <f t="shared" si="123"/>
        <v/>
      </c>
      <c r="O257" s="749"/>
      <c r="P257" s="742"/>
      <c r="Q257" s="743"/>
      <c r="R257" s="741"/>
      <c r="S257" s="751"/>
      <c r="T257" s="771"/>
      <c r="U257" s="772"/>
      <c r="V257" s="562">
        <f t="shared" si="125"/>
        <v>0</v>
      </c>
      <c r="W257" s="562">
        <f t="shared" si="126"/>
        <v>0</v>
      </c>
      <c r="X257" s="749"/>
      <c r="Y257" s="744"/>
      <c r="Z257" s="743"/>
      <c r="AA257" s="741"/>
      <c r="AB257" s="391"/>
      <c r="AC257" s="401"/>
      <c r="AD257" s="92"/>
      <c r="AE257" s="92"/>
      <c r="AF257" s="92"/>
      <c r="AG257" s="561">
        <f t="shared" si="120"/>
        <v>0</v>
      </c>
      <c r="AH257" s="405"/>
      <c r="AI257" s="405"/>
      <c r="AJ257" s="405"/>
      <c r="AK257" s="405"/>
      <c r="AL257" s="405"/>
      <c r="AM257" s="405"/>
      <c r="AN257" s="405"/>
      <c r="AO257" s="405"/>
      <c r="AP257" s="258"/>
      <c r="AQ257" s="258"/>
      <c r="AR257" s="281"/>
      <c r="AS257" s="281"/>
      <c r="AT257" s="281"/>
      <c r="AU257" s="281"/>
      <c r="AV257" s="281"/>
      <c r="AW257" s="281"/>
      <c r="AX257" s="281"/>
      <c r="AY257" s="281"/>
      <c r="AZ257" s="281"/>
      <c r="BA257" s="281"/>
      <c r="BB257" s="281"/>
      <c r="BC257" s="281"/>
      <c r="BD257" s="281"/>
      <c r="BE257" s="281"/>
      <c r="BF257" s="281"/>
      <c r="BG257" s="281"/>
      <c r="BH257" s="281"/>
      <c r="BI257" s="281"/>
      <c r="BJ257" s="281"/>
      <c r="BK257" s="281"/>
      <c r="BL257" s="281"/>
      <c r="BM257" s="281"/>
      <c r="BN257" s="281"/>
      <c r="BO257" s="281"/>
      <c r="BP257" s="281"/>
      <c r="BQ257" s="281"/>
      <c r="BR257" s="281"/>
      <c r="BS257" s="281"/>
      <c r="BT257" s="281"/>
      <c r="BU257" s="281"/>
      <c r="BV257" s="281"/>
      <c r="BW257" s="281"/>
      <c r="BX257" s="281"/>
      <c r="BY257" s="281"/>
      <c r="BZ257" s="281"/>
    </row>
    <row r="258" spans="1:78" ht="12.75" customHeight="1" x14ac:dyDescent="0.2">
      <c r="A258" s="422" t="s">
        <v>880</v>
      </c>
      <c r="B258" s="43"/>
      <c r="C258" s="481"/>
      <c r="D258" s="481"/>
      <c r="E258" s="37"/>
      <c r="F258" s="426"/>
      <c r="G258" s="426"/>
      <c r="H258" s="450"/>
      <c r="I258" s="483"/>
      <c r="J258" s="817"/>
      <c r="K258" s="817"/>
      <c r="L258" s="711">
        <f t="shared" ref="L258:L282" si="127">G258*J258</f>
        <v>0</v>
      </c>
      <c r="M258" s="711">
        <f t="shared" ref="M258:M282" si="128">G258*K258</f>
        <v>0</v>
      </c>
      <c r="N258" s="485"/>
      <c r="O258" s="749"/>
      <c r="P258" s="742"/>
      <c r="Q258" s="743"/>
      <c r="R258" s="741"/>
      <c r="S258" s="751"/>
      <c r="T258" s="771"/>
      <c r="U258" s="772"/>
      <c r="V258" s="562">
        <f t="shared" ref="V258:V282" si="129">SUM(T258:U258)</f>
        <v>0</v>
      </c>
      <c r="W258" s="562">
        <f t="shared" ref="W258:W282" si="130">E258-V258</f>
        <v>0</v>
      </c>
      <c r="X258" s="749"/>
      <c r="Y258" s="744"/>
      <c r="Z258" s="743"/>
      <c r="AA258" s="741"/>
      <c r="AB258" s="391"/>
      <c r="AC258" s="401"/>
      <c r="AD258" s="92"/>
      <c r="AE258" s="92"/>
      <c r="AF258" s="92"/>
      <c r="AG258" s="561">
        <f t="shared" si="120"/>
        <v>0</v>
      </c>
      <c r="AH258" s="405"/>
      <c r="AI258" s="405"/>
      <c r="AJ258" s="405"/>
      <c r="AK258" s="405"/>
      <c r="AL258" s="405"/>
      <c r="AM258" s="405"/>
      <c r="AN258" s="405"/>
      <c r="AO258" s="405"/>
      <c r="AP258" s="258"/>
      <c r="AQ258" s="258"/>
      <c r="AR258" s="281"/>
      <c r="AS258" s="281"/>
      <c r="AT258" s="281"/>
      <c r="AU258" s="281"/>
      <c r="AV258" s="281"/>
      <c r="AW258" s="281"/>
      <c r="AX258" s="281"/>
      <c r="AY258" s="281"/>
      <c r="AZ258" s="281"/>
      <c r="BA258" s="281"/>
      <c r="BB258" s="281"/>
      <c r="BC258" s="281"/>
      <c r="BD258" s="281"/>
      <c r="BE258" s="281"/>
      <c r="BF258" s="281"/>
      <c r="BG258" s="281"/>
      <c r="BH258" s="281"/>
      <c r="BI258" s="281"/>
      <c r="BJ258" s="281"/>
      <c r="BK258" s="281"/>
      <c r="BL258" s="281"/>
      <c r="BM258" s="281"/>
      <c r="BN258" s="281"/>
      <c r="BO258" s="281"/>
      <c r="BP258" s="281"/>
      <c r="BQ258" s="281"/>
      <c r="BR258" s="281"/>
      <c r="BS258" s="281"/>
      <c r="BT258" s="281"/>
      <c r="BU258" s="281"/>
      <c r="BV258" s="281"/>
      <c r="BW258" s="281"/>
      <c r="BX258" s="281"/>
      <c r="BY258" s="281"/>
      <c r="BZ258" s="281"/>
    </row>
    <row r="259" spans="1:78" ht="12.75" customHeight="1" x14ac:dyDescent="0.2">
      <c r="A259" s="422" t="s">
        <v>881</v>
      </c>
      <c r="B259" s="43"/>
      <c r="C259" s="481"/>
      <c r="D259" s="481"/>
      <c r="E259" s="37"/>
      <c r="F259" s="426"/>
      <c r="G259" s="426"/>
      <c r="H259" s="450"/>
      <c r="I259" s="483"/>
      <c r="J259" s="817"/>
      <c r="K259" s="817"/>
      <c r="L259" s="711">
        <f t="shared" si="127"/>
        <v>0</v>
      </c>
      <c r="M259" s="711">
        <f t="shared" si="128"/>
        <v>0</v>
      </c>
      <c r="N259" s="485"/>
      <c r="O259" s="749"/>
      <c r="P259" s="742"/>
      <c r="Q259" s="743"/>
      <c r="R259" s="741"/>
      <c r="S259" s="751"/>
      <c r="T259" s="771"/>
      <c r="U259" s="772"/>
      <c r="V259" s="562">
        <f t="shared" si="129"/>
        <v>0</v>
      </c>
      <c r="W259" s="562">
        <f t="shared" si="130"/>
        <v>0</v>
      </c>
      <c r="X259" s="749"/>
      <c r="Y259" s="744"/>
      <c r="Z259" s="743"/>
      <c r="AA259" s="741"/>
      <c r="AB259" s="391"/>
      <c r="AC259" s="401"/>
      <c r="AD259" s="92"/>
      <c r="AE259" s="92"/>
      <c r="AF259" s="92"/>
      <c r="AG259" s="561">
        <f t="shared" si="120"/>
        <v>0</v>
      </c>
      <c r="AH259" s="405"/>
      <c r="AI259" s="405"/>
      <c r="AJ259" s="405"/>
      <c r="AK259" s="405"/>
      <c r="AL259" s="405"/>
      <c r="AM259" s="405"/>
      <c r="AN259" s="405"/>
      <c r="AO259" s="405"/>
      <c r="AP259" s="258"/>
      <c r="AQ259" s="258"/>
      <c r="AR259" s="281"/>
      <c r="AS259" s="281"/>
      <c r="AT259" s="281"/>
      <c r="AU259" s="281"/>
      <c r="AV259" s="281"/>
      <c r="AW259" s="281"/>
      <c r="AX259" s="281"/>
      <c r="AY259" s="281"/>
      <c r="AZ259" s="281"/>
      <c r="BA259" s="281"/>
      <c r="BB259" s="281"/>
      <c r="BC259" s="281"/>
      <c r="BD259" s="281"/>
      <c r="BE259" s="281"/>
      <c r="BF259" s="281"/>
      <c r="BG259" s="281"/>
      <c r="BH259" s="281"/>
      <c r="BI259" s="281"/>
      <c r="BJ259" s="281"/>
      <c r="BK259" s="281"/>
      <c r="BL259" s="281"/>
      <c r="BM259" s="281"/>
      <c r="BN259" s="281"/>
      <c r="BO259" s="281"/>
      <c r="BP259" s="281"/>
      <c r="BQ259" s="281"/>
      <c r="BR259" s="281"/>
      <c r="BS259" s="281"/>
      <c r="BT259" s="281"/>
      <c r="BU259" s="281"/>
      <c r="BV259" s="281"/>
      <c r="BW259" s="281"/>
      <c r="BX259" s="281"/>
      <c r="BY259" s="281"/>
      <c r="BZ259" s="281"/>
    </row>
    <row r="260" spans="1:78" ht="12.75" customHeight="1" outlineLevel="1" x14ac:dyDescent="0.2">
      <c r="A260" s="422" t="s">
        <v>1009</v>
      </c>
      <c r="B260" s="43"/>
      <c r="C260" s="481"/>
      <c r="D260" s="481"/>
      <c r="E260" s="37"/>
      <c r="F260" s="426"/>
      <c r="G260" s="426"/>
      <c r="H260" s="450"/>
      <c r="I260" s="483"/>
      <c r="J260" s="817"/>
      <c r="K260" s="817"/>
      <c r="L260" s="711">
        <f t="shared" si="127"/>
        <v>0</v>
      </c>
      <c r="M260" s="711">
        <f t="shared" si="128"/>
        <v>0</v>
      </c>
      <c r="N260" s="485"/>
      <c r="O260" s="749"/>
      <c r="P260" s="742"/>
      <c r="Q260" s="743"/>
      <c r="R260" s="741"/>
      <c r="S260" s="751"/>
      <c r="T260" s="771"/>
      <c r="U260" s="772"/>
      <c r="V260" s="562">
        <f t="shared" si="129"/>
        <v>0</v>
      </c>
      <c r="W260" s="562">
        <f t="shared" si="130"/>
        <v>0</v>
      </c>
      <c r="X260" s="749"/>
      <c r="Y260" s="744"/>
      <c r="Z260" s="743"/>
      <c r="AA260" s="741"/>
      <c r="AB260" s="391"/>
      <c r="AC260" s="401"/>
      <c r="AD260" s="92"/>
      <c r="AE260" s="92"/>
      <c r="AF260" s="92"/>
      <c r="AG260" s="561">
        <f t="shared" si="120"/>
        <v>0</v>
      </c>
      <c r="AH260" s="405"/>
      <c r="AI260" s="405"/>
      <c r="AJ260" s="405"/>
      <c r="AK260" s="405"/>
      <c r="AL260" s="405"/>
      <c r="AM260" s="405"/>
      <c r="AN260" s="405"/>
      <c r="AO260" s="405"/>
      <c r="AP260" s="258"/>
      <c r="AQ260" s="258"/>
      <c r="AR260" s="281"/>
      <c r="AS260" s="281"/>
      <c r="AT260" s="281"/>
      <c r="AU260" s="281"/>
      <c r="AV260" s="281"/>
      <c r="AW260" s="281"/>
      <c r="AX260" s="281"/>
      <c r="AY260" s="281"/>
      <c r="AZ260" s="281"/>
      <c r="BA260" s="281"/>
      <c r="BB260" s="281"/>
      <c r="BC260" s="281"/>
      <c r="BD260" s="281"/>
      <c r="BE260" s="281"/>
      <c r="BF260" s="281"/>
      <c r="BG260" s="281"/>
      <c r="BH260" s="281"/>
      <c r="BI260" s="281"/>
      <c r="BJ260" s="281"/>
      <c r="BK260" s="281"/>
      <c r="BL260" s="281"/>
      <c r="BM260" s="281"/>
      <c r="BN260" s="281"/>
      <c r="BO260" s="281"/>
      <c r="BP260" s="281"/>
      <c r="BQ260" s="281"/>
      <c r="BR260" s="281"/>
      <c r="BS260" s="281"/>
      <c r="BT260" s="281"/>
      <c r="BU260" s="281"/>
      <c r="BV260" s="281"/>
      <c r="BW260" s="281"/>
      <c r="BX260" s="281"/>
      <c r="BY260" s="281"/>
      <c r="BZ260" s="281"/>
    </row>
    <row r="261" spans="1:78" ht="12.75" customHeight="1" outlineLevel="1" x14ac:dyDescent="0.2">
      <c r="A261" s="422" t="s">
        <v>1010</v>
      </c>
      <c r="B261" s="43"/>
      <c r="C261" s="481"/>
      <c r="D261" s="481"/>
      <c r="E261" s="37"/>
      <c r="F261" s="426"/>
      <c r="G261" s="426"/>
      <c r="H261" s="450"/>
      <c r="I261" s="483"/>
      <c r="J261" s="817"/>
      <c r="K261" s="817"/>
      <c r="L261" s="711">
        <f t="shared" si="127"/>
        <v>0</v>
      </c>
      <c r="M261" s="711">
        <f t="shared" si="128"/>
        <v>0</v>
      </c>
      <c r="N261" s="485"/>
      <c r="O261" s="749"/>
      <c r="P261" s="742"/>
      <c r="Q261" s="743"/>
      <c r="R261" s="741"/>
      <c r="S261" s="751"/>
      <c r="T261" s="771"/>
      <c r="U261" s="772"/>
      <c r="V261" s="562">
        <f t="shared" si="129"/>
        <v>0</v>
      </c>
      <c r="W261" s="562">
        <f t="shared" si="130"/>
        <v>0</v>
      </c>
      <c r="X261" s="749"/>
      <c r="Y261" s="744"/>
      <c r="Z261" s="743"/>
      <c r="AA261" s="741"/>
      <c r="AB261" s="391"/>
      <c r="AC261" s="401"/>
      <c r="AD261" s="92"/>
      <c r="AE261" s="92"/>
      <c r="AF261" s="92"/>
      <c r="AG261" s="561">
        <f t="shared" si="120"/>
        <v>0</v>
      </c>
      <c r="AH261" s="405"/>
      <c r="AI261" s="405"/>
      <c r="AJ261" s="405"/>
      <c r="AK261" s="405"/>
      <c r="AL261" s="405"/>
      <c r="AM261" s="405"/>
      <c r="AN261" s="405"/>
      <c r="AO261" s="405"/>
      <c r="AP261" s="258"/>
      <c r="AQ261" s="258"/>
      <c r="AR261" s="281"/>
      <c r="AS261" s="281"/>
      <c r="AT261" s="281"/>
      <c r="AU261" s="281"/>
      <c r="AV261" s="281"/>
      <c r="AW261" s="281"/>
      <c r="AX261" s="281"/>
      <c r="AY261" s="281"/>
      <c r="AZ261" s="281"/>
      <c r="BA261" s="281"/>
      <c r="BB261" s="281"/>
      <c r="BC261" s="281"/>
      <c r="BD261" s="281"/>
      <c r="BE261" s="281"/>
      <c r="BF261" s="281"/>
      <c r="BG261" s="281"/>
      <c r="BH261" s="281"/>
      <c r="BI261" s="281"/>
      <c r="BJ261" s="281"/>
      <c r="BK261" s="281"/>
      <c r="BL261" s="281"/>
      <c r="BM261" s="281"/>
      <c r="BN261" s="281"/>
      <c r="BO261" s="281"/>
      <c r="BP261" s="281"/>
      <c r="BQ261" s="281"/>
      <c r="BR261" s="281"/>
      <c r="BS261" s="281"/>
      <c r="BT261" s="281"/>
      <c r="BU261" s="281"/>
      <c r="BV261" s="281"/>
      <c r="BW261" s="281"/>
      <c r="BX261" s="281"/>
      <c r="BY261" s="281"/>
      <c r="BZ261" s="281"/>
    </row>
    <row r="262" spans="1:78" ht="12.75" customHeight="1" outlineLevel="1" x14ac:dyDescent="0.2">
      <c r="A262" s="422" t="s">
        <v>1011</v>
      </c>
      <c r="B262" s="43"/>
      <c r="C262" s="481"/>
      <c r="D262" s="481"/>
      <c r="E262" s="37"/>
      <c r="F262" s="426"/>
      <c r="G262" s="426"/>
      <c r="H262" s="450"/>
      <c r="I262" s="483"/>
      <c r="J262" s="817"/>
      <c r="K262" s="817"/>
      <c r="L262" s="711">
        <f t="shared" si="127"/>
        <v>0</v>
      </c>
      <c r="M262" s="711">
        <f t="shared" si="128"/>
        <v>0</v>
      </c>
      <c r="N262" s="485"/>
      <c r="O262" s="749"/>
      <c r="P262" s="742"/>
      <c r="Q262" s="743"/>
      <c r="R262" s="741"/>
      <c r="S262" s="751"/>
      <c r="T262" s="771"/>
      <c r="U262" s="772"/>
      <c r="V262" s="562">
        <f t="shared" si="129"/>
        <v>0</v>
      </c>
      <c r="W262" s="562">
        <f t="shared" si="130"/>
        <v>0</v>
      </c>
      <c r="X262" s="749"/>
      <c r="Y262" s="744"/>
      <c r="Z262" s="743"/>
      <c r="AA262" s="741"/>
      <c r="AB262" s="391"/>
      <c r="AC262" s="401"/>
      <c r="AD262" s="92"/>
      <c r="AE262" s="92"/>
      <c r="AF262" s="92"/>
      <c r="AG262" s="561">
        <f t="shared" si="120"/>
        <v>0</v>
      </c>
      <c r="AH262" s="405"/>
      <c r="AI262" s="405"/>
      <c r="AJ262" s="405"/>
      <c r="AK262" s="405"/>
      <c r="AL262" s="405"/>
      <c r="AM262" s="405"/>
      <c r="AN262" s="405"/>
      <c r="AO262" s="405"/>
      <c r="AP262" s="258"/>
      <c r="AQ262" s="258"/>
      <c r="AR262" s="281"/>
      <c r="AS262" s="281"/>
      <c r="AT262" s="281"/>
      <c r="AU262" s="281"/>
      <c r="AV262" s="281"/>
      <c r="AW262" s="281"/>
      <c r="AX262" s="281"/>
      <c r="AY262" s="281"/>
      <c r="AZ262" s="281"/>
      <c r="BA262" s="281"/>
      <c r="BB262" s="281"/>
      <c r="BC262" s="281"/>
      <c r="BD262" s="281"/>
      <c r="BE262" s="281"/>
      <c r="BF262" s="281"/>
      <c r="BG262" s="281"/>
      <c r="BH262" s="281"/>
      <c r="BI262" s="281"/>
      <c r="BJ262" s="281"/>
      <c r="BK262" s="281"/>
      <c r="BL262" s="281"/>
      <c r="BM262" s="281"/>
      <c r="BN262" s="281"/>
      <c r="BO262" s="281"/>
      <c r="BP262" s="281"/>
      <c r="BQ262" s="281"/>
      <c r="BR262" s="281"/>
      <c r="BS262" s="281"/>
      <c r="BT262" s="281"/>
      <c r="BU262" s="281"/>
      <c r="BV262" s="281"/>
      <c r="BW262" s="281"/>
      <c r="BX262" s="281"/>
      <c r="BY262" s="281"/>
      <c r="BZ262" s="281"/>
    </row>
    <row r="263" spans="1:78" ht="12.75" customHeight="1" outlineLevel="1" x14ac:dyDescent="0.2">
      <c r="A263" s="422" t="s">
        <v>1012</v>
      </c>
      <c r="B263" s="43"/>
      <c r="C263" s="481"/>
      <c r="D263" s="481"/>
      <c r="E263" s="37"/>
      <c r="F263" s="426"/>
      <c r="G263" s="426"/>
      <c r="H263" s="450"/>
      <c r="I263" s="483"/>
      <c r="J263" s="817"/>
      <c r="K263" s="817"/>
      <c r="L263" s="711">
        <f t="shared" si="127"/>
        <v>0</v>
      </c>
      <c r="M263" s="711">
        <f t="shared" si="128"/>
        <v>0</v>
      </c>
      <c r="N263" s="485"/>
      <c r="O263" s="749"/>
      <c r="P263" s="742"/>
      <c r="Q263" s="743"/>
      <c r="R263" s="741"/>
      <c r="S263" s="751"/>
      <c r="T263" s="771"/>
      <c r="U263" s="772"/>
      <c r="V263" s="562">
        <f t="shared" si="129"/>
        <v>0</v>
      </c>
      <c r="W263" s="562">
        <f t="shared" si="130"/>
        <v>0</v>
      </c>
      <c r="X263" s="749"/>
      <c r="Y263" s="744"/>
      <c r="Z263" s="743"/>
      <c r="AA263" s="741"/>
      <c r="AB263" s="391"/>
      <c r="AC263" s="401"/>
      <c r="AD263" s="92"/>
      <c r="AE263" s="92"/>
      <c r="AF263" s="92"/>
      <c r="AG263" s="561">
        <f t="shared" si="120"/>
        <v>0</v>
      </c>
      <c r="AH263" s="405"/>
      <c r="AI263" s="405"/>
      <c r="AJ263" s="405"/>
      <c r="AK263" s="405"/>
      <c r="AL263" s="405"/>
      <c r="AM263" s="405"/>
      <c r="AN263" s="405"/>
      <c r="AO263" s="405"/>
      <c r="AP263" s="258"/>
      <c r="AQ263" s="258"/>
      <c r="AR263" s="281"/>
      <c r="AS263" s="281"/>
      <c r="AT263" s="281"/>
      <c r="AU263" s="281"/>
      <c r="AV263" s="281"/>
      <c r="AW263" s="281"/>
      <c r="AX263" s="281"/>
      <c r="AY263" s="281"/>
      <c r="AZ263" s="281"/>
      <c r="BA263" s="281"/>
      <c r="BB263" s="281"/>
      <c r="BC263" s="281"/>
      <c r="BD263" s="281"/>
      <c r="BE263" s="281"/>
      <c r="BF263" s="281"/>
      <c r="BG263" s="281"/>
      <c r="BH263" s="281"/>
      <c r="BI263" s="281"/>
      <c r="BJ263" s="281"/>
      <c r="BK263" s="281"/>
      <c r="BL263" s="281"/>
      <c r="BM263" s="281"/>
      <c r="BN263" s="281"/>
      <c r="BO263" s="281"/>
      <c r="BP263" s="281"/>
      <c r="BQ263" s="281"/>
      <c r="BR263" s="281"/>
      <c r="BS263" s="281"/>
      <c r="BT263" s="281"/>
      <c r="BU263" s="281"/>
      <c r="BV263" s="281"/>
      <c r="BW263" s="281"/>
      <c r="BX263" s="281"/>
      <c r="BY263" s="281"/>
      <c r="BZ263" s="281"/>
    </row>
    <row r="264" spans="1:78" ht="12.75" customHeight="1" outlineLevel="1" x14ac:dyDescent="0.2">
      <c r="A264" s="422" t="s">
        <v>1013</v>
      </c>
      <c r="B264" s="43"/>
      <c r="C264" s="481"/>
      <c r="D264" s="481"/>
      <c r="E264" s="37"/>
      <c r="F264" s="426"/>
      <c r="G264" s="426"/>
      <c r="H264" s="450"/>
      <c r="I264" s="483"/>
      <c r="J264" s="817"/>
      <c r="K264" s="817"/>
      <c r="L264" s="711">
        <f t="shared" si="127"/>
        <v>0</v>
      </c>
      <c r="M264" s="711">
        <f t="shared" si="128"/>
        <v>0</v>
      </c>
      <c r="N264" s="485"/>
      <c r="O264" s="749"/>
      <c r="P264" s="742"/>
      <c r="Q264" s="743"/>
      <c r="R264" s="741"/>
      <c r="S264" s="751"/>
      <c r="T264" s="771"/>
      <c r="U264" s="772"/>
      <c r="V264" s="562">
        <f t="shared" si="129"/>
        <v>0</v>
      </c>
      <c r="W264" s="562">
        <f t="shared" si="130"/>
        <v>0</v>
      </c>
      <c r="X264" s="749"/>
      <c r="Y264" s="744"/>
      <c r="Z264" s="743"/>
      <c r="AA264" s="741"/>
      <c r="AB264" s="391"/>
      <c r="AC264" s="401"/>
      <c r="AD264" s="92"/>
      <c r="AE264" s="92"/>
      <c r="AF264" s="92"/>
      <c r="AG264" s="561">
        <f t="shared" si="120"/>
        <v>0</v>
      </c>
      <c r="AH264" s="405"/>
      <c r="AI264" s="405"/>
      <c r="AJ264" s="405"/>
      <c r="AK264" s="405"/>
      <c r="AL264" s="405"/>
      <c r="AM264" s="405"/>
      <c r="AN264" s="405"/>
      <c r="AO264" s="405"/>
      <c r="AP264" s="258"/>
      <c r="AQ264" s="258"/>
      <c r="AR264" s="281"/>
      <c r="AS264" s="281"/>
      <c r="AT264" s="281"/>
      <c r="AU264" s="281"/>
      <c r="AV264" s="281"/>
      <c r="AW264" s="281"/>
      <c r="AX264" s="281"/>
      <c r="AY264" s="281"/>
      <c r="AZ264" s="281"/>
      <c r="BA264" s="281"/>
      <c r="BB264" s="281"/>
      <c r="BC264" s="281"/>
      <c r="BD264" s="281"/>
      <c r="BE264" s="281"/>
      <c r="BF264" s="281"/>
      <c r="BG264" s="281"/>
      <c r="BH264" s="281"/>
      <c r="BI264" s="281"/>
      <c r="BJ264" s="281"/>
      <c r="BK264" s="281"/>
      <c r="BL264" s="281"/>
      <c r="BM264" s="281"/>
      <c r="BN264" s="281"/>
      <c r="BO264" s="281"/>
      <c r="BP264" s="281"/>
      <c r="BQ264" s="281"/>
      <c r="BR264" s="281"/>
      <c r="BS264" s="281"/>
      <c r="BT264" s="281"/>
      <c r="BU264" s="281"/>
      <c r="BV264" s="281"/>
      <c r="BW264" s="281"/>
      <c r="BX264" s="281"/>
      <c r="BY264" s="281"/>
      <c r="BZ264" s="281"/>
    </row>
    <row r="265" spans="1:78" ht="12.75" customHeight="1" outlineLevel="1" x14ac:dyDescent="0.2">
      <c r="A265" s="422" t="s">
        <v>1014</v>
      </c>
      <c r="B265" s="43"/>
      <c r="C265" s="481"/>
      <c r="D265" s="481"/>
      <c r="E265" s="37"/>
      <c r="F265" s="426"/>
      <c r="G265" s="426"/>
      <c r="H265" s="450"/>
      <c r="I265" s="483"/>
      <c r="J265" s="817"/>
      <c r="K265" s="817"/>
      <c r="L265" s="711">
        <f t="shared" si="127"/>
        <v>0</v>
      </c>
      <c r="M265" s="711">
        <f t="shared" si="128"/>
        <v>0</v>
      </c>
      <c r="N265" s="485"/>
      <c r="O265" s="749"/>
      <c r="P265" s="742"/>
      <c r="Q265" s="743"/>
      <c r="R265" s="741"/>
      <c r="S265" s="751"/>
      <c r="T265" s="771"/>
      <c r="U265" s="772"/>
      <c r="V265" s="562">
        <f t="shared" si="129"/>
        <v>0</v>
      </c>
      <c r="W265" s="562">
        <f t="shared" si="130"/>
        <v>0</v>
      </c>
      <c r="X265" s="749"/>
      <c r="Y265" s="744"/>
      <c r="Z265" s="743"/>
      <c r="AA265" s="741"/>
      <c r="AB265" s="391"/>
      <c r="AC265" s="401"/>
      <c r="AD265" s="92"/>
      <c r="AE265" s="92"/>
      <c r="AF265" s="92"/>
      <c r="AG265" s="561">
        <f t="shared" si="120"/>
        <v>0</v>
      </c>
      <c r="AH265" s="405"/>
      <c r="AI265" s="405"/>
      <c r="AJ265" s="405"/>
      <c r="AK265" s="405"/>
      <c r="AL265" s="405"/>
      <c r="AM265" s="405"/>
      <c r="AN265" s="405"/>
      <c r="AO265" s="405"/>
      <c r="AP265" s="258"/>
      <c r="AQ265" s="258"/>
      <c r="AR265" s="281"/>
      <c r="AS265" s="281"/>
      <c r="AT265" s="281"/>
      <c r="AU265" s="281"/>
      <c r="AV265" s="281"/>
      <c r="AW265" s="281"/>
      <c r="AX265" s="281"/>
      <c r="AY265" s="281"/>
      <c r="AZ265" s="281"/>
      <c r="BA265" s="281"/>
      <c r="BB265" s="281"/>
      <c r="BC265" s="281"/>
      <c r="BD265" s="281"/>
      <c r="BE265" s="281"/>
      <c r="BF265" s="281"/>
      <c r="BG265" s="281"/>
      <c r="BH265" s="281"/>
      <c r="BI265" s="281"/>
      <c r="BJ265" s="281"/>
      <c r="BK265" s="281"/>
      <c r="BL265" s="281"/>
      <c r="BM265" s="281"/>
      <c r="BN265" s="281"/>
      <c r="BO265" s="281"/>
      <c r="BP265" s="281"/>
      <c r="BQ265" s="281"/>
      <c r="BR265" s="281"/>
      <c r="BS265" s="281"/>
      <c r="BT265" s="281"/>
      <c r="BU265" s="281"/>
      <c r="BV265" s="281"/>
      <c r="BW265" s="281"/>
      <c r="BX265" s="281"/>
      <c r="BY265" s="281"/>
      <c r="BZ265" s="281"/>
    </row>
    <row r="266" spans="1:78" ht="12.75" customHeight="1" outlineLevel="1" x14ac:dyDescent="0.2">
      <c r="A266" s="422" t="s">
        <v>1015</v>
      </c>
      <c r="B266" s="43"/>
      <c r="C266" s="481"/>
      <c r="D266" s="481"/>
      <c r="E266" s="37"/>
      <c r="F266" s="426"/>
      <c r="G266" s="426"/>
      <c r="H266" s="450"/>
      <c r="I266" s="483"/>
      <c r="J266" s="817"/>
      <c r="K266" s="817"/>
      <c r="L266" s="711">
        <f t="shared" si="127"/>
        <v>0</v>
      </c>
      <c r="M266" s="711">
        <f t="shared" si="128"/>
        <v>0</v>
      </c>
      <c r="N266" s="485"/>
      <c r="O266" s="749"/>
      <c r="P266" s="742"/>
      <c r="Q266" s="743"/>
      <c r="R266" s="741"/>
      <c r="S266" s="751"/>
      <c r="T266" s="771"/>
      <c r="U266" s="772"/>
      <c r="V266" s="562">
        <f t="shared" si="129"/>
        <v>0</v>
      </c>
      <c r="W266" s="562">
        <f t="shared" si="130"/>
        <v>0</v>
      </c>
      <c r="X266" s="749"/>
      <c r="Y266" s="744"/>
      <c r="Z266" s="743"/>
      <c r="AA266" s="741"/>
      <c r="AB266" s="391"/>
      <c r="AC266" s="401"/>
      <c r="AD266" s="92"/>
      <c r="AE266" s="92"/>
      <c r="AF266" s="92"/>
      <c r="AG266" s="561">
        <f t="shared" si="120"/>
        <v>0</v>
      </c>
      <c r="AH266" s="405"/>
      <c r="AI266" s="405"/>
      <c r="AJ266" s="405"/>
      <c r="AK266" s="405"/>
      <c r="AL266" s="405"/>
      <c r="AM266" s="405"/>
      <c r="AN266" s="405"/>
      <c r="AO266" s="405"/>
      <c r="AP266" s="258"/>
      <c r="AQ266" s="258"/>
      <c r="AR266" s="281"/>
      <c r="AS266" s="281"/>
      <c r="AT266" s="281"/>
      <c r="AU266" s="281"/>
      <c r="AV266" s="281"/>
      <c r="AW266" s="281"/>
      <c r="AX266" s="281"/>
      <c r="AY266" s="281"/>
      <c r="AZ266" s="281"/>
      <c r="BA266" s="281"/>
      <c r="BB266" s="281"/>
      <c r="BC266" s="281"/>
      <c r="BD266" s="281"/>
      <c r="BE266" s="281"/>
      <c r="BF266" s="281"/>
      <c r="BG266" s="281"/>
      <c r="BH266" s="281"/>
      <c r="BI266" s="281"/>
      <c r="BJ266" s="281"/>
      <c r="BK266" s="281"/>
      <c r="BL266" s="281"/>
      <c r="BM266" s="281"/>
      <c r="BN266" s="281"/>
      <c r="BO266" s="281"/>
      <c r="BP266" s="281"/>
      <c r="BQ266" s="281"/>
      <c r="BR266" s="281"/>
      <c r="BS266" s="281"/>
      <c r="BT266" s="281"/>
      <c r="BU266" s="281"/>
      <c r="BV266" s="281"/>
      <c r="BW266" s="281"/>
      <c r="BX266" s="281"/>
      <c r="BY266" s="281"/>
      <c r="BZ266" s="281"/>
    </row>
    <row r="267" spans="1:78" ht="12.75" customHeight="1" outlineLevel="1" x14ac:dyDescent="0.2">
      <c r="A267" s="422" t="s">
        <v>1016</v>
      </c>
      <c r="B267" s="43"/>
      <c r="C267" s="481"/>
      <c r="D267" s="481"/>
      <c r="E267" s="37"/>
      <c r="F267" s="426"/>
      <c r="G267" s="426"/>
      <c r="H267" s="450"/>
      <c r="I267" s="483"/>
      <c r="J267" s="817"/>
      <c r="K267" s="817"/>
      <c r="L267" s="711">
        <f t="shared" si="127"/>
        <v>0</v>
      </c>
      <c r="M267" s="711">
        <f t="shared" si="128"/>
        <v>0</v>
      </c>
      <c r="N267" s="485"/>
      <c r="O267" s="749"/>
      <c r="P267" s="742"/>
      <c r="Q267" s="743"/>
      <c r="R267" s="741"/>
      <c r="S267" s="751"/>
      <c r="T267" s="771"/>
      <c r="U267" s="772"/>
      <c r="V267" s="562">
        <f t="shared" si="129"/>
        <v>0</v>
      </c>
      <c r="W267" s="562">
        <f t="shared" si="130"/>
        <v>0</v>
      </c>
      <c r="X267" s="749"/>
      <c r="Y267" s="744"/>
      <c r="Z267" s="743"/>
      <c r="AA267" s="741"/>
      <c r="AB267" s="391"/>
      <c r="AC267" s="401"/>
      <c r="AD267" s="92"/>
      <c r="AE267" s="92"/>
      <c r="AF267" s="92"/>
      <c r="AG267" s="561">
        <f t="shared" si="120"/>
        <v>0</v>
      </c>
      <c r="AH267" s="405"/>
      <c r="AI267" s="405"/>
      <c r="AJ267" s="405"/>
      <c r="AK267" s="405"/>
      <c r="AL267" s="405"/>
      <c r="AM267" s="405"/>
      <c r="AN267" s="405"/>
      <c r="AO267" s="405"/>
      <c r="AP267" s="258"/>
      <c r="AQ267" s="258"/>
      <c r="AR267" s="281"/>
      <c r="AS267" s="281"/>
      <c r="AT267" s="281"/>
      <c r="AU267" s="281"/>
      <c r="AV267" s="281"/>
      <c r="AW267" s="281"/>
      <c r="AX267" s="281"/>
      <c r="AY267" s="281"/>
      <c r="AZ267" s="281"/>
      <c r="BA267" s="281"/>
      <c r="BB267" s="281"/>
      <c r="BC267" s="281"/>
      <c r="BD267" s="281"/>
      <c r="BE267" s="281"/>
      <c r="BF267" s="281"/>
      <c r="BG267" s="281"/>
      <c r="BH267" s="281"/>
      <c r="BI267" s="281"/>
      <c r="BJ267" s="281"/>
      <c r="BK267" s="281"/>
      <c r="BL267" s="281"/>
      <c r="BM267" s="281"/>
      <c r="BN267" s="281"/>
      <c r="BO267" s="281"/>
      <c r="BP267" s="281"/>
      <c r="BQ267" s="281"/>
      <c r="BR267" s="281"/>
      <c r="BS267" s="281"/>
      <c r="BT267" s="281"/>
      <c r="BU267" s="281"/>
      <c r="BV267" s="281"/>
      <c r="BW267" s="281"/>
      <c r="BX267" s="281"/>
      <c r="BY267" s="281"/>
      <c r="BZ267" s="281"/>
    </row>
    <row r="268" spans="1:78" ht="12.75" customHeight="1" outlineLevel="1" x14ac:dyDescent="0.2">
      <c r="A268" s="422" t="s">
        <v>1017</v>
      </c>
      <c r="B268" s="43"/>
      <c r="C268" s="481"/>
      <c r="D268" s="481"/>
      <c r="E268" s="37"/>
      <c r="F268" s="426"/>
      <c r="G268" s="426"/>
      <c r="H268" s="450"/>
      <c r="I268" s="483"/>
      <c r="J268" s="817"/>
      <c r="K268" s="817"/>
      <c r="L268" s="711">
        <f t="shared" si="127"/>
        <v>0</v>
      </c>
      <c r="M268" s="711">
        <f t="shared" si="128"/>
        <v>0</v>
      </c>
      <c r="N268" s="485"/>
      <c r="O268" s="749"/>
      <c r="P268" s="742"/>
      <c r="Q268" s="743"/>
      <c r="R268" s="741"/>
      <c r="S268" s="751"/>
      <c r="T268" s="771"/>
      <c r="U268" s="772"/>
      <c r="V268" s="562">
        <f t="shared" si="129"/>
        <v>0</v>
      </c>
      <c r="W268" s="562">
        <f t="shared" si="130"/>
        <v>0</v>
      </c>
      <c r="X268" s="749"/>
      <c r="Y268" s="744"/>
      <c r="Z268" s="743"/>
      <c r="AA268" s="741"/>
      <c r="AB268" s="391"/>
      <c r="AC268" s="401"/>
      <c r="AD268" s="92"/>
      <c r="AE268" s="92"/>
      <c r="AF268" s="92"/>
      <c r="AG268" s="561">
        <f t="shared" si="120"/>
        <v>0</v>
      </c>
      <c r="AH268" s="405"/>
      <c r="AI268" s="405"/>
      <c r="AJ268" s="405"/>
      <c r="AK268" s="405"/>
      <c r="AL268" s="405"/>
      <c r="AM268" s="405"/>
      <c r="AN268" s="405"/>
      <c r="AO268" s="405"/>
      <c r="AP268" s="258"/>
      <c r="AQ268" s="258"/>
      <c r="AR268" s="281"/>
      <c r="AS268" s="281"/>
      <c r="AT268" s="281"/>
      <c r="AU268" s="281"/>
      <c r="AV268" s="281"/>
      <c r="AW268" s="281"/>
      <c r="AX268" s="281"/>
      <c r="AY268" s="281"/>
      <c r="AZ268" s="281"/>
      <c r="BA268" s="281"/>
      <c r="BB268" s="281"/>
      <c r="BC268" s="281"/>
      <c r="BD268" s="281"/>
      <c r="BE268" s="281"/>
      <c r="BF268" s="281"/>
      <c r="BG268" s="281"/>
      <c r="BH268" s="281"/>
      <c r="BI268" s="281"/>
      <c r="BJ268" s="281"/>
      <c r="BK268" s="281"/>
      <c r="BL268" s="281"/>
      <c r="BM268" s="281"/>
      <c r="BN268" s="281"/>
      <c r="BO268" s="281"/>
      <c r="BP268" s="281"/>
      <c r="BQ268" s="281"/>
      <c r="BR268" s="281"/>
      <c r="BS268" s="281"/>
      <c r="BT268" s="281"/>
      <c r="BU268" s="281"/>
      <c r="BV268" s="281"/>
      <c r="BW268" s="281"/>
      <c r="BX268" s="281"/>
      <c r="BY268" s="281"/>
      <c r="BZ268" s="281"/>
    </row>
    <row r="269" spans="1:78" ht="12.75" customHeight="1" outlineLevel="1" x14ac:dyDescent="0.2">
      <c r="A269" s="422" t="s">
        <v>1018</v>
      </c>
      <c r="B269" s="43"/>
      <c r="C269" s="481"/>
      <c r="D269" s="481"/>
      <c r="E269" s="37"/>
      <c r="F269" s="426"/>
      <c r="G269" s="426"/>
      <c r="H269" s="450"/>
      <c r="I269" s="483"/>
      <c r="J269" s="817"/>
      <c r="K269" s="817"/>
      <c r="L269" s="711">
        <f t="shared" si="127"/>
        <v>0</v>
      </c>
      <c r="M269" s="711">
        <f t="shared" si="128"/>
        <v>0</v>
      </c>
      <c r="N269" s="485"/>
      <c r="O269" s="749"/>
      <c r="P269" s="742"/>
      <c r="Q269" s="743"/>
      <c r="R269" s="741"/>
      <c r="S269" s="751"/>
      <c r="T269" s="771"/>
      <c r="U269" s="772"/>
      <c r="V269" s="562">
        <f t="shared" si="129"/>
        <v>0</v>
      </c>
      <c r="W269" s="562">
        <f t="shared" si="130"/>
        <v>0</v>
      </c>
      <c r="X269" s="749"/>
      <c r="Y269" s="744"/>
      <c r="Z269" s="743"/>
      <c r="AA269" s="741"/>
      <c r="AB269" s="391"/>
      <c r="AC269" s="401"/>
      <c r="AD269" s="92"/>
      <c r="AE269" s="92"/>
      <c r="AF269" s="92"/>
      <c r="AG269" s="561">
        <f t="shared" si="120"/>
        <v>0</v>
      </c>
      <c r="AH269" s="405"/>
      <c r="AI269" s="405"/>
      <c r="AJ269" s="405"/>
      <c r="AK269" s="405"/>
      <c r="AL269" s="405"/>
      <c r="AM269" s="405"/>
      <c r="AN269" s="405"/>
      <c r="AO269" s="405"/>
      <c r="AP269" s="258"/>
      <c r="AQ269" s="258"/>
      <c r="AR269" s="281"/>
      <c r="AS269" s="281"/>
      <c r="AT269" s="281"/>
      <c r="AU269" s="281"/>
      <c r="AV269" s="281"/>
      <c r="AW269" s="281"/>
      <c r="AX269" s="281"/>
      <c r="AY269" s="281"/>
      <c r="AZ269" s="281"/>
      <c r="BA269" s="281"/>
      <c r="BB269" s="281"/>
      <c r="BC269" s="281"/>
      <c r="BD269" s="281"/>
      <c r="BE269" s="281"/>
      <c r="BF269" s="281"/>
      <c r="BG269" s="281"/>
      <c r="BH269" s="281"/>
      <c r="BI269" s="281"/>
      <c r="BJ269" s="281"/>
      <c r="BK269" s="281"/>
      <c r="BL269" s="281"/>
      <c r="BM269" s="281"/>
      <c r="BN269" s="281"/>
      <c r="BO269" s="281"/>
      <c r="BP269" s="281"/>
      <c r="BQ269" s="281"/>
      <c r="BR269" s="281"/>
      <c r="BS269" s="281"/>
      <c r="BT269" s="281"/>
      <c r="BU269" s="281"/>
      <c r="BV269" s="281"/>
      <c r="BW269" s="281"/>
      <c r="BX269" s="281"/>
      <c r="BY269" s="281"/>
      <c r="BZ269" s="281"/>
    </row>
    <row r="270" spans="1:78" ht="12.75" customHeight="1" outlineLevel="1" x14ac:dyDescent="0.2">
      <c r="A270" s="422" t="s">
        <v>1019</v>
      </c>
      <c r="B270" s="43"/>
      <c r="C270" s="481"/>
      <c r="D270" s="481"/>
      <c r="E270" s="37"/>
      <c r="F270" s="426"/>
      <c r="G270" s="426"/>
      <c r="H270" s="450"/>
      <c r="I270" s="483"/>
      <c r="J270" s="817"/>
      <c r="K270" s="817"/>
      <c r="L270" s="711">
        <f t="shared" si="127"/>
        <v>0</v>
      </c>
      <c r="M270" s="711">
        <f t="shared" si="128"/>
        <v>0</v>
      </c>
      <c r="N270" s="485"/>
      <c r="O270" s="749"/>
      <c r="P270" s="742"/>
      <c r="Q270" s="743"/>
      <c r="R270" s="741"/>
      <c r="S270" s="751"/>
      <c r="T270" s="771"/>
      <c r="U270" s="772"/>
      <c r="V270" s="562">
        <f t="shared" si="129"/>
        <v>0</v>
      </c>
      <c r="W270" s="562">
        <f t="shared" si="130"/>
        <v>0</v>
      </c>
      <c r="X270" s="749"/>
      <c r="Y270" s="744"/>
      <c r="Z270" s="743"/>
      <c r="AA270" s="741"/>
      <c r="AB270" s="391"/>
      <c r="AC270" s="401"/>
      <c r="AD270" s="92"/>
      <c r="AE270" s="92"/>
      <c r="AF270" s="92"/>
      <c r="AG270" s="561">
        <f t="shared" si="120"/>
        <v>0</v>
      </c>
      <c r="AH270" s="405"/>
      <c r="AI270" s="405"/>
      <c r="AJ270" s="405"/>
      <c r="AK270" s="405"/>
      <c r="AL270" s="405"/>
      <c r="AM270" s="405"/>
      <c r="AN270" s="405"/>
      <c r="AO270" s="405"/>
      <c r="AP270" s="258"/>
      <c r="AQ270" s="258"/>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c r="BM270" s="281"/>
      <c r="BN270" s="281"/>
      <c r="BO270" s="281"/>
      <c r="BP270" s="281"/>
      <c r="BQ270" s="281"/>
      <c r="BR270" s="281"/>
      <c r="BS270" s="281"/>
      <c r="BT270" s="281"/>
      <c r="BU270" s="281"/>
      <c r="BV270" s="281"/>
      <c r="BW270" s="281"/>
      <c r="BX270" s="281"/>
      <c r="BY270" s="281"/>
      <c r="BZ270" s="281"/>
    </row>
    <row r="271" spans="1:78" ht="12.75" customHeight="1" outlineLevel="1" x14ac:dyDescent="0.2">
      <c r="A271" s="422" t="s">
        <v>1020</v>
      </c>
      <c r="B271" s="43"/>
      <c r="C271" s="481"/>
      <c r="D271" s="481"/>
      <c r="E271" s="37"/>
      <c r="F271" s="426"/>
      <c r="G271" s="426"/>
      <c r="H271" s="450"/>
      <c r="I271" s="483"/>
      <c r="J271" s="817"/>
      <c r="K271" s="817"/>
      <c r="L271" s="711">
        <f t="shared" si="127"/>
        <v>0</v>
      </c>
      <c r="M271" s="711">
        <f t="shared" si="128"/>
        <v>0</v>
      </c>
      <c r="N271" s="485"/>
      <c r="O271" s="749"/>
      <c r="P271" s="742"/>
      <c r="Q271" s="743"/>
      <c r="R271" s="741"/>
      <c r="S271" s="751"/>
      <c r="T271" s="771"/>
      <c r="U271" s="772"/>
      <c r="V271" s="562">
        <f t="shared" si="129"/>
        <v>0</v>
      </c>
      <c r="W271" s="562">
        <f t="shared" si="130"/>
        <v>0</v>
      </c>
      <c r="X271" s="749"/>
      <c r="Y271" s="744"/>
      <c r="Z271" s="743"/>
      <c r="AA271" s="741"/>
      <c r="AB271" s="391"/>
      <c r="AC271" s="401"/>
      <c r="AD271" s="92"/>
      <c r="AE271" s="92"/>
      <c r="AF271" s="92"/>
      <c r="AG271" s="561">
        <f t="shared" si="120"/>
        <v>0</v>
      </c>
      <c r="AH271" s="405"/>
      <c r="AI271" s="405"/>
      <c r="AJ271" s="405"/>
      <c r="AK271" s="405"/>
      <c r="AL271" s="405"/>
      <c r="AM271" s="405"/>
      <c r="AN271" s="405"/>
      <c r="AO271" s="405"/>
      <c r="AP271" s="258"/>
      <c r="AQ271" s="258"/>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c r="BM271" s="281"/>
      <c r="BN271" s="281"/>
      <c r="BO271" s="281"/>
      <c r="BP271" s="281"/>
      <c r="BQ271" s="281"/>
      <c r="BR271" s="281"/>
      <c r="BS271" s="281"/>
      <c r="BT271" s="281"/>
      <c r="BU271" s="281"/>
      <c r="BV271" s="281"/>
      <c r="BW271" s="281"/>
      <c r="BX271" s="281"/>
      <c r="BY271" s="281"/>
      <c r="BZ271" s="281"/>
    </row>
    <row r="272" spans="1:78" ht="12.75" customHeight="1" outlineLevel="1" x14ac:dyDescent="0.2">
      <c r="A272" s="422" t="s">
        <v>1021</v>
      </c>
      <c r="B272" s="43"/>
      <c r="C272" s="481"/>
      <c r="D272" s="481"/>
      <c r="E272" s="37"/>
      <c r="F272" s="426"/>
      <c r="G272" s="426"/>
      <c r="H272" s="450"/>
      <c r="I272" s="483"/>
      <c r="J272" s="817"/>
      <c r="K272" s="817"/>
      <c r="L272" s="711">
        <f t="shared" si="127"/>
        <v>0</v>
      </c>
      <c r="M272" s="711">
        <f t="shared" si="128"/>
        <v>0</v>
      </c>
      <c r="N272" s="485"/>
      <c r="O272" s="749"/>
      <c r="P272" s="742"/>
      <c r="Q272" s="743"/>
      <c r="R272" s="741"/>
      <c r="S272" s="751"/>
      <c r="T272" s="771"/>
      <c r="U272" s="772"/>
      <c r="V272" s="562">
        <f t="shared" si="129"/>
        <v>0</v>
      </c>
      <c r="W272" s="562">
        <f t="shared" si="130"/>
        <v>0</v>
      </c>
      <c r="X272" s="749"/>
      <c r="Y272" s="744"/>
      <c r="Z272" s="743"/>
      <c r="AA272" s="741"/>
      <c r="AB272" s="391"/>
      <c r="AC272" s="401"/>
      <c r="AD272" s="92"/>
      <c r="AE272" s="92"/>
      <c r="AF272" s="92"/>
      <c r="AG272" s="561">
        <f t="shared" si="120"/>
        <v>0</v>
      </c>
      <c r="AH272" s="405"/>
      <c r="AI272" s="405"/>
      <c r="AJ272" s="405"/>
      <c r="AK272" s="405"/>
      <c r="AL272" s="405"/>
      <c r="AM272" s="405"/>
      <c r="AN272" s="405"/>
      <c r="AO272" s="405"/>
      <c r="AP272" s="258"/>
      <c r="AQ272" s="258"/>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1"/>
    </row>
    <row r="273" spans="1:78" ht="12.75" customHeight="1" outlineLevel="1" x14ac:dyDescent="0.2">
      <c r="A273" s="422" t="s">
        <v>1022</v>
      </c>
      <c r="B273" s="43"/>
      <c r="C273" s="481"/>
      <c r="D273" s="481"/>
      <c r="E273" s="37"/>
      <c r="F273" s="426"/>
      <c r="G273" s="426"/>
      <c r="H273" s="450"/>
      <c r="I273" s="483"/>
      <c r="J273" s="817"/>
      <c r="K273" s="817"/>
      <c r="L273" s="711">
        <f t="shared" si="127"/>
        <v>0</v>
      </c>
      <c r="M273" s="711">
        <f t="shared" si="128"/>
        <v>0</v>
      </c>
      <c r="N273" s="485"/>
      <c r="O273" s="749"/>
      <c r="P273" s="742"/>
      <c r="Q273" s="743"/>
      <c r="R273" s="741"/>
      <c r="S273" s="751"/>
      <c r="T273" s="771"/>
      <c r="U273" s="772"/>
      <c r="V273" s="562">
        <f t="shared" si="129"/>
        <v>0</v>
      </c>
      <c r="W273" s="562">
        <f t="shared" si="130"/>
        <v>0</v>
      </c>
      <c r="X273" s="749"/>
      <c r="Y273" s="744"/>
      <c r="Z273" s="743"/>
      <c r="AA273" s="741"/>
      <c r="AB273" s="391"/>
      <c r="AC273" s="401"/>
      <c r="AD273" s="92"/>
      <c r="AE273" s="92"/>
      <c r="AF273" s="92"/>
      <c r="AG273" s="561">
        <f t="shared" si="120"/>
        <v>0</v>
      </c>
      <c r="AH273" s="405"/>
      <c r="AI273" s="405"/>
      <c r="AJ273" s="405"/>
      <c r="AK273" s="405"/>
      <c r="AL273" s="405"/>
      <c r="AM273" s="405"/>
      <c r="AN273" s="405"/>
      <c r="AO273" s="405"/>
      <c r="AP273" s="258"/>
      <c r="AQ273" s="258"/>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c r="BM273" s="281"/>
      <c r="BN273" s="281"/>
      <c r="BO273" s="281"/>
      <c r="BP273" s="281"/>
      <c r="BQ273" s="281"/>
      <c r="BR273" s="281"/>
      <c r="BS273" s="281"/>
      <c r="BT273" s="281"/>
      <c r="BU273" s="281"/>
      <c r="BV273" s="281"/>
      <c r="BW273" s="281"/>
      <c r="BX273" s="281"/>
      <c r="BY273" s="281"/>
      <c r="BZ273" s="281"/>
    </row>
    <row r="274" spans="1:78" ht="12.75" customHeight="1" outlineLevel="1" x14ac:dyDescent="0.2">
      <c r="A274" s="422" t="s">
        <v>1023</v>
      </c>
      <c r="B274" s="43"/>
      <c r="C274" s="481"/>
      <c r="D274" s="481"/>
      <c r="E274" s="37"/>
      <c r="F274" s="426"/>
      <c r="G274" s="426"/>
      <c r="H274" s="450"/>
      <c r="I274" s="483"/>
      <c r="J274" s="817"/>
      <c r="K274" s="817"/>
      <c r="L274" s="711">
        <f t="shared" si="127"/>
        <v>0</v>
      </c>
      <c r="M274" s="711">
        <f t="shared" si="128"/>
        <v>0</v>
      </c>
      <c r="N274" s="485"/>
      <c r="O274" s="749"/>
      <c r="P274" s="742"/>
      <c r="Q274" s="743"/>
      <c r="R274" s="741"/>
      <c r="S274" s="751"/>
      <c r="T274" s="771"/>
      <c r="U274" s="772"/>
      <c r="V274" s="562">
        <f t="shared" si="129"/>
        <v>0</v>
      </c>
      <c r="W274" s="562">
        <f t="shared" si="130"/>
        <v>0</v>
      </c>
      <c r="X274" s="749"/>
      <c r="Y274" s="744"/>
      <c r="Z274" s="743"/>
      <c r="AA274" s="741"/>
      <c r="AB274" s="391"/>
      <c r="AC274" s="401"/>
      <c r="AD274" s="92"/>
      <c r="AE274" s="92"/>
      <c r="AF274" s="92"/>
      <c r="AG274" s="561">
        <f t="shared" si="120"/>
        <v>0</v>
      </c>
      <c r="AH274" s="405"/>
      <c r="AI274" s="405"/>
      <c r="AJ274" s="405"/>
      <c r="AK274" s="405"/>
      <c r="AL274" s="405"/>
      <c r="AM274" s="405"/>
      <c r="AN274" s="405"/>
      <c r="AO274" s="405"/>
      <c r="AP274" s="258"/>
      <c r="AQ274" s="258"/>
      <c r="AR274" s="281"/>
      <c r="AS274" s="281"/>
      <c r="AT274" s="281"/>
      <c r="AU274" s="281"/>
      <c r="AV274" s="281"/>
      <c r="AW274" s="281"/>
      <c r="AX274" s="281"/>
      <c r="AY274" s="281"/>
      <c r="AZ274" s="281"/>
      <c r="BA274" s="281"/>
      <c r="BB274" s="281"/>
      <c r="BC274" s="281"/>
      <c r="BD274" s="281"/>
      <c r="BE274" s="281"/>
      <c r="BF274" s="281"/>
      <c r="BG274" s="281"/>
      <c r="BH274" s="281"/>
      <c r="BI274" s="281"/>
      <c r="BJ274" s="281"/>
      <c r="BK274" s="281"/>
      <c r="BL274" s="281"/>
      <c r="BM274" s="281"/>
      <c r="BN274" s="281"/>
      <c r="BO274" s="281"/>
      <c r="BP274" s="281"/>
      <c r="BQ274" s="281"/>
      <c r="BR274" s="281"/>
      <c r="BS274" s="281"/>
      <c r="BT274" s="281"/>
      <c r="BU274" s="281"/>
      <c r="BV274" s="281"/>
      <c r="BW274" s="281"/>
      <c r="BX274" s="281"/>
      <c r="BY274" s="281"/>
      <c r="BZ274" s="281"/>
    </row>
    <row r="275" spans="1:78" ht="12.75" customHeight="1" outlineLevel="1" x14ac:dyDescent="0.2">
      <c r="A275" s="422" t="s">
        <v>1024</v>
      </c>
      <c r="B275" s="43"/>
      <c r="C275" s="481"/>
      <c r="D275" s="481"/>
      <c r="E275" s="37"/>
      <c r="F275" s="426"/>
      <c r="G275" s="426"/>
      <c r="H275" s="450"/>
      <c r="I275" s="483"/>
      <c r="J275" s="817"/>
      <c r="K275" s="817"/>
      <c r="L275" s="711">
        <f t="shared" si="127"/>
        <v>0</v>
      </c>
      <c r="M275" s="711">
        <f t="shared" si="128"/>
        <v>0</v>
      </c>
      <c r="N275" s="485"/>
      <c r="O275" s="749"/>
      <c r="P275" s="742"/>
      <c r="Q275" s="743"/>
      <c r="R275" s="741"/>
      <c r="S275" s="751"/>
      <c r="T275" s="771"/>
      <c r="U275" s="772"/>
      <c r="V275" s="562">
        <f t="shared" si="129"/>
        <v>0</v>
      </c>
      <c r="W275" s="562">
        <f t="shared" si="130"/>
        <v>0</v>
      </c>
      <c r="X275" s="749"/>
      <c r="Y275" s="744"/>
      <c r="Z275" s="743"/>
      <c r="AA275" s="741"/>
      <c r="AB275" s="391"/>
      <c r="AC275" s="401"/>
      <c r="AD275" s="92"/>
      <c r="AE275" s="92"/>
      <c r="AF275" s="92"/>
      <c r="AG275" s="561">
        <f t="shared" si="120"/>
        <v>0</v>
      </c>
      <c r="AH275" s="405"/>
      <c r="AI275" s="405"/>
      <c r="AJ275" s="405"/>
      <c r="AK275" s="405"/>
      <c r="AL275" s="405"/>
      <c r="AM275" s="405"/>
      <c r="AN275" s="405"/>
      <c r="AO275" s="405"/>
      <c r="AP275" s="258"/>
      <c r="AQ275" s="258"/>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row>
    <row r="276" spans="1:78" ht="12.75" customHeight="1" outlineLevel="1" x14ac:dyDescent="0.2">
      <c r="A276" s="422" t="s">
        <v>1025</v>
      </c>
      <c r="B276" s="43"/>
      <c r="C276" s="481"/>
      <c r="D276" s="481"/>
      <c r="E276" s="37"/>
      <c r="F276" s="426"/>
      <c r="G276" s="426"/>
      <c r="H276" s="450"/>
      <c r="I276" s="483"/>
      <c r="J276" s="817"/>
      <c r="K276" s="817"/>
      <c r="L276" s="711">
        <f t="shared" si="127"/>
        <v>0</v>
      </c>
      <c r="M276" s="711">
        <f t="shared" si="128"/>
        <v>0</v>
      </c>
      <c r="N276" s="485"/>
      <c r="O276" s="749"/>
      <c r="P276" s="742"/>
      <c r="Q276" s="743"/>
      <c r="R276" s="741"/>
      <c r="S276" s="751"/>
      <c r="T276" s="771"/>
      <c r="U276" s="772"/>
      <c r="V276" s="562">
        <f t="shared" si="129"/>
        <v>0</v>
      </c>
      <c r="W276" s="562">
        <f t="shared" si="130"/>
        <v>0</v>
      </c>
      <c r="X276" s="749"/>
      <c r="Y276" s="744"/>
      <c r="Z276" s="743"/>
      <c r="AA276" s="741"/>
      <c r="AB276" s="391"/>
      <c r="AC276" s="401"/>
      <c r="AD276" s="92"/>
      <c r="AE276" s="92"/>
      <c r="AF276" s="92"/>
      <c r="AG276" s="561">
        <f t="shared" si="120"/>
        <v>0</v>
      </c>
      <c r="AH276" s="405"/>
      <c r="AI276" s="405"/>
      <c r="AJ276" s="405"/>
      <c r="AK276" s="405"/>
      <c r="AL276" s="405"/>
      <c r="AM276" s="405"/>
      <c r="AN276" s="405"/>
      <c r="AO276" s="405"/>
      <c r="AP276" s="258"/>
      <c r="AQ276" s="258"/>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1"/>
      <c r="BZ276" s="281"/>
    </row>
    <row r="277" spans="1:78" ht="12.75" customHeight="1" outlineLevel="1" x14ac:dyDescent="0.2">
      <c r="A277" s="422" t="s">
        <v>1026</v>
      </c>
      <c r="B277" s="43"/>
      <c r="C277" s="481"/>
      <c r="D277" s="481"/>
      <c r="E277" s="37"/>
      <c r="F277" s="426"/>
      <c r="G277" s="426"/>
      <c r="H277" s="450"/>
      <c r="I277" s="483"/>
      <c r="J277" s="817"/>
      <c r="K277" s="817"/>
      <c r="L277" s="711">
        <f t="shared" si="127"/>
        <v>0</v>
      </c>
      <c r="M277" s="711">
        <f t="shared" si="128"/>
        <v>0</v>
      </c>
      <c r="N277" s="485"/>
      <c r="O277" s="749"/>
      <c r="P277" s="742"/>
      <c r="Q277" s="743"/>
      <c r="R277" s="741"/>
      <c r="S277" s="751"/>
      <c r="T277" s="771"/>
      <c r="U277" s="772"/>
      <c r="V277" s="562">
        <f t="shared" si="129"/>
        <v>0</v>
      </c>
      <c r="W277" s="562">
        <f t="shared" si="130"/>
        <v>0</v>
      </c>
      <c r="X277" s="749"/>
      <c r="Y277" s="744"/>
      <c r="Z277" s="743"/>
      <c r="AA277" s="741"/>
      <c r="AB277" s="391"/>
      <c r="AC277" s="401"/>
      <c r="AD277" s="92"/>
      <c r="AE277" s="92"/>
      <c r="AF277" s="92"/>
      <c r="AG277" s="561">
        <f t="shared" si="120"/>
        <v>0</v>
      </c>
      <c r="AH277" s="405"/>
      <c r="AI277" s="405"/>
      <c r="AJ277" s="405"/>
      <c r="AK277" s="405"/>
      <c r="AL277" s="405"/>
      <c r="AM277" s="405"/>
      <c r="AN277" s="405"/>
      <c r="AO277" s="405"/>
      <c r="AP277" s="258"/>
      <c r="AQ277" s="258"/>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c r="BM277" s="281"/>
      <c r="BN277" s="281"/>
      <c r="BO277" s="281"/>
      <c r="BP277" s="281"/>
      <c r="BQ277" s="281"/>
      <c r="BR277" s="281"/>
      <c r="BS277" s="281"/>
      <c r="BT277" s="281"/>
      <c r="BU277" s="281"/>
      <c r="BV277" s="281"/>
      <c r="BW277" s="281"/>
      <c r="BX277" s="281"/>
      <c r="BY277" s="281"/>
      <c r="BZ277" s="281"/>
    </row>
    <row r="278" spans="1:78" ht="12.75" customHeight="1" outlineLevel="1" x14ac:dyDescent="0.2">
      <c r="A278" s="422" t="s">
        <v>1027</v>
      </c>
      <c r="B278" s="43"/>
      <c r="C278" s="481"/>
      <c r="D278" s="481"/>
      <c r="E278" s="37"/>
      <c r="F278" s="426"/>
      <c r="G278" s="426"/>
      <c r="H278" s="450"/>
      <c r="I278" s="483"/>
      <c r="J278" s="817"/>
      <c r="K278" s="817"/>
      <c r="L278" s="711">
        <f t="shared" si="127"/>
        <v>0</v>
      </c>
      <c r="M278" s="711">
        <f t="shared" si="128"/>
        <v>0</v>
      </c>
      <c r="N278" s="485"/>
      <c r="O278" s="749"/>
      <c r="P278" s="742"/>
      <c r="Q278" s="743"/>
      <c r="R278" s="741"/>
      <c r="S278" s="751"/>
      <c r="T278" s="771"/>
      <c r="U278" s="772"/>
      <c r="V278" s="562">
        <f t="shared" si="129"/>
        <v>0</v>
      </c>
      <c r="W278" s="562">
        <f t="shared" si="130"/>
        <v>0</v>
      </c>
      <c r="X278" s="749"/>
      <c r="Y278" s="744"/>
      <c r="Z278" s="743"/>
      <c r="AA278" s="741"/>
      <c r="AB278" s="391"/>
      <c r="AC278" s="401"/>
      <c r="AD278" s="92"/>
      <c r="AE278" s="92"/>
      <c r="AF278" s="92"/>
      <c r="AG278" s="561">
        <f t="shared" si="120"/>
        <v>0</v>
      </c>
      <c r="AH278" s="405"/>
      <c r="AI278" s="405"/>
      <c r="AJ278" s="405"/>
      <c r="AK278" s="405"/>
      <c r="AL278" s="405"/>
      <c r="AM278" s="405"/>
      <c r="AN278" s="405"/>
      <c r="AO278" s="405"/>
      <c r="AP278" s="258"/>
      <c r="AQ278" s="258"/>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c r="BM278" s="281"/>
      <c r="BN278" s="281"/>
      <c r="BO278" s="281"/>
      <c r="BP278" s="281"/>
      <c r="BQ278" s="281"/>
      <c r="BR278" s="281"/>
      <c r="BS278" s="281"/>
      <c r="BT278" s="281"/>
      <c r="BU278" s="281"/>
      <c r="BV278" s="281"/>
      <c r="BW278" s="281"/>
      <c r="BX278" s="281"/>
      <c r="BY278" s="281"/>
      <c r="BZ278" s="281"/>
    </row>
    <row r="279" spans="1:78" ht="12.75" customHeight="1" outlineLevel="1" x14ac:dyDescent="0.2">
      <c r="A279" s="422" t="s">
        <v>1028</v>
      </c>
      <c r="B279" s="43"/>
      <c r="C279" s="481"/>
      <c r="D279" s="481"/>
      <c r="E279" s="37"/>
      <c r="F279" s="426"/>
      <c r="G279" s="426"/>
      <c r="H279" s="450"/>
      <c r="I279" s="483"/>
      <c r="J279" s="817"/>
      <c r="K279" s="817"/>
      <c r="L279" s="711">
        <f t="shared" si="127"/>
        <v>0</v>
      </c>
      <c r="M279" s="711">
        <f t="shared" si="128"/>
        <v>0</v>
      </c>
      <c r="N279" s="485"/>
      <c r="O279" s="749"/>
      <c r="P279" s="742"/>
      <c r="Q279" s="743"/>
      <c r="R279" s="741"/>
      <c r="S279" s="751"/>
      <c r="T279" s="771"/>
      <c r="U279" s="772"/>
      <c r="V279" s="562">
        <f t="shared" si="129"/>
        <v>0</v>
      </c>
      <c r="W279" s="562">
        <f t="shared" si="130"/>
        <v>0</v>
      </c>
      <c r="X279" s="749"/>
      <c r="Y279" s="744"/>
      <c r="Z279" s="743"/>
      <c r="AA279" s="741"/>
      <c r="AB279" s="391"/>
      <c r="AC279" s="401"/>
      <c r="AD279" s="92"/>
      <c r="AE279" s="92"/>
      <c r="AF279" s="92"/>
      <c r="AG279" s="561">
        <f t="shared" si="120"/>
        <v>0</v>
      </c>
      <c r="AH279" s="405"/>
      <c r="AI279" s="405"/>
      <c r="AJ279" s="405"/>
      <c r="AK279" s="405"/>
      <c r="AL279" s="405"/>
      <c r="AM279" s="405"/>
      <c r="AN279" s="405"/>
      <c r="AO279" s="405"/>
      <c r="AP279" s="258"/>
      <c r="AQ279" s="258"/>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row>
    <row r="280" spans="1:78" ht="12.75" customHeight="1" outlineLevel="1" x14ac:dyDescent="0.2">
      <c r="A280" s="422" t="s">
        <v>1029</v>
      </c>
      <c r="B280" s="43"/>
      <c r="C280" s="481"/>
      <c r="D280" s="481"/>
      <c r="E280" s="37"/>
      <c r="F280" s="426"/>
      <c r="G280" s="426"/>
      <c r="H280" s="450"/>
      <c r="I280" s="483"/>
      <c r="J280" s="817"/>
      <c r="K280" s="817"/>
      <c r="L280" s="711">
        <f t="shared" si="127"/>
        <v>0</v>
      </c>
      <c r="M280" s="711">
        <f t="shared" si="128"/>
        <v>0</v>
      </c>
      <c r="N280" s="485"/>
      <c r="O280" s="749"/>
      <c r="P280" s="742"/>
      <c r="Q280" s="743"/>
      <c r="R280" s="741"/>
      <c r="S280" s="751"/>
      <c r="T280" s="771"/>
      <c r="U280" s="772"/>
      <c r="V280" s="562">
        <f t="shared" si="129"/>
        <v>0</v>
      </c>
      <c r="W280" s="562">
        <f t="shared" si="130"/>
        <v>0</v>
      </c>
      <c r="X280" s="749"/>
      <c r="Y280" s="744"/>
      <c r="Z280" s="743"/>
      <c r="AA280" s="741"/>
      <c r="AB280" s="391"/>
      <c r="AC280" s="401"/>
      <c r="AD280" s="92"/>
      <c r="AE280" s="92"/>
      <c r="AF280" s="92"/>
      <c r="AG280" s="561">
        <f t="shared" si="120"/>
        <v>0</v>
      </c>
      <c r="AH280" s="405"/>
      <c r="AI280" s="405"/>
      <c r="AJ280" s="405"/>
      <c r="AK280" s="405"/>
      <c r="AL280" s="405"/>
      <c r="AM280" s="405"/>
      <c r="AN280" s="405"/>
      <c r="AO280" s="405"/>
      <c r="AP280" s="258"/>
      <c r="AQ280" s="258"/>
      <c r="AR280" s="281"/>
      <c r="AS280" s="281"/>
      <c r="AT280" s="281"/>
      <c r="AU280" s="281"/>
      <c r="AV280" s="281"/>
      <c r="AW280" s="281"/>
      <c r="AX280" s="281"/>
      <c r="AY280" s="281"/>
      <c r="AZ280" s="281"/>
      <c r="BA280" s="281"/>
      <c r="BB280" s="281"/>
      <c r="BC280" s="281"/>
      <c r="BD280" s="281"/>
      <c r="BE280" s="281"/>
      <c r="BF280" s="281"/>
      <c r="BG280" s="281"/>
      <c r="BH280" s="281"/>
      <c r="BI280" s="281"/>
      <c r="BJ280" s="281"/>
      <c r="BK280" s="281"/>
      <c r="BL280" s="281"/>
      <c r="BM280" s="281"/>
      <c r="BN280" s="281"/>
      <c r="BO280" s="281"/>
      <c r="BP280" s="281"/>
      <c r="BQ280" s="281"/>
      <c r="BR280" s="281"/>
      <c r="BS280" s="281"/>
      <c r="BT280" s="281"/>
      <c r="BU280" s="281"/>
      <c r="BV280" s="281"/>
      <c r="BW280" s="281"/>
      <c r="BX280" s="281"/>
      <c r="BY280" s="281"/>
      <c r="BZ280" s="281"/>
    </row>
    <row r="281" spans="1:78" ht="12.75" customHeight="1" outlineLevel="1" x14ac:dyDescent="0.2">
      <c r="A281" s="422" t="s">
        <v>1030</v>
      </c>
      <c r="B281" s="43"/>
      <c r="C281" s="481"/>
      <c r="D281" s="481"/>
      <c r="E281" s="37"/>
      <c r="F281" s="426"/>
      <c r="G281" s="426"/>
      <c r="H281" s="450"/>
      <c r="I281" s="483"/>
      <c r="J281" s="817"/>
      <c r="K281" s="817"/>
      <c r="L281" s="711">
        <f t="shared" si="127"/>
        <v>0</v>
      </c>
      <c r="M281" s="711">
        <f t="shared" si="128"/>
        <v>0</v>
      </c>
      <c r="N281" s="485"/>
      <c r="O281" s="749"/>
      <c r="P281" s="742"/>
      <c r="Q281" s="743"/>
      <c r="R281" s="741"/>
      <c r="S281" s="751"/>
      <c r="T281" s="771"/>
      <c r="U281" s="772"/>
      <c r="V281" s="562">
        <f t="shared" si="129"/>
        <v>0</v>
      </c>
      <c r="W281" s="562">
        <f t="shared" si="130"/>
        <v>0</v>
      </c>
      <c r="X281" s="749"/>
      <c r="Y281" s="744"/>
      <c r="Z281" s="743"/>
      <c r="AA281" s="741"/>
      <c r="AB281" s="391"/>
      <c r="AC281" s="401"/>
      <c r="AD281" s="92"/>
      <c r="AE281" s="92"/>
      <c r="AF281" s="92"/>
      <c r="AG281" s="561">
        <f t="shared" si="120"/>
        <v>0</v>
      </c>
      <c r="AH281" s="405"/>
      <c r="AI281" s="405"/>
      <c r="AJ281" s="405"/>
      <c r="AK281" s="405"/>
      <c r="AL281" s="405"/>
      <c r="AM281" s="405"/>
      <c r="AN281" s="405"/>
      <c r="AO281" s="405"/>
      <c r="AP281" s="258"/>
      <c r="AQ281" s="258"/>
      <c r="AR281" s="281"/>
      <c r="AS281" s="281"/>
      <c r="AT281" s="281"/>
      <c r="AU281" s="281"/>
      <c r="AV281" s="281"/>
      <c r="AW281" s="281"/>
      <c r="AX281" s="281"/>
      <c r="AY281" s="281"/>
      <c r="AZ281" s="281"/>
      <c r="BA281" s="281"/>
      <c r="BB281" s="281"/>
      <c r="BC281" s="281"/>
      <c r="BD281" s="281"/>
      <c r="BE281" s="281"/>
      <c r="BF281" s="281"/>
      <c r="BG281" s="281"/>
      <c r="BH281" s="281"/>
      <c r="BI281" s="281"/>
      <c r="BJ281" s="281"/>
      <c r="BK281" s="281"/>
      <c r="BL281" s="281"/>
      <c r="BM281" s="281"/>
      <c r="BN281" s="281"/>
      <c r="BO281" s="281"/>
      <c r="BP281" s="281"/>
      <c r="BQ281" s="281"/>
      <c r="BR281" s="281"/>
      <c r="BS281" s="281"/>
      <c r="BT281" s="281"/>
      <c r="BU281" s="281"/>
      <c r="BV281" s="281"/>
      <c r="BW281" s="281"/>
      <c r="BX281" s="281"/>
      <c r="BY281" s="281"/>
      <c r="BZ281" s="281"/>
    </row>
    <row r="282" spans="1:78" ht="12.75" customHeight="1" outlineLevel="1" x14ac:dyDescent="0.2">
      <c r="A282" s="422" t="s">
        <v>1031</v>
      </c>
      <c r="B282" s="43"/>
      <c r="C282" s="481"/>
      <c r="D282" s="481"/>
      <c r="E282" s="37"/>
      <c r="F282" s="426"/>
      <c r="G282" s="426"/>
      <c r="H282" s="450"/>
      <c r="I282" s="483"/>
      <c r="J282" s="817"/>
      <c r="K282" s="817"/>
      <c r="L282" s="711">
        <f t="shared" si="127"/>
        <v>0</v>
      </c>
      <c r="M282" s="711">
        <f t="shared" si="128"/>
        <v>0</v>
      </c>
      <c r="N282" s="485"/>
      <c r="O282" s="749"/>
      <c r="P282" s="742"/>
      <c r="Q282" s="743"/>
      <c r="R282" s="741"/>
      <c r="S282" s="751"/>
      <c r="T282" s="771"/>
      <c r="U282" s="772"/>
      <c r="V282" s="562">
        <f t="shared" si="129"/>
        <v>0</v>
      </c>
      <c r="W282" s="562">
        <f t="shared" si="130"/>
        <v>0</v>
      </c>
      <c r="X282" s="749"/>
      <c r="Y282" s="744"/>
      <c r="Z282" s="743"/>
      <c r="AA282" s="741"/>
      <c r="AB282" s="391"/>
      <c r="AC282" s="401"/>
      <c r="AD282" s="92"/>
      <c r="AE282" s="92"/>
      <c r="AF282" s="92"/>
      <c r="AG282" s="561">
        <f t="shared" si="120"/>
        <v>0</v>
      </c>
      <c r="AH282" s="405"/>
      <c r="AI282" s="405"/>
      <c r="AJ282" s="405"/>
      <c r="AK282" s="405"/>
      <c r="AL282" s="405"/>
      <c r="AM282" s="405"/>
      <c r="AN282" s="405"/>
      <c r="AO282" s="405"/>
      <c r="AP282" s="258"/>
      <c r="AQ282" s="258"/>
      <c r="AR282" s="281"/>
      <c r="AS282" s="281"/>
      <c r="AT282" s="281"/>
      <c r="AU282" s="281"/>
      <c r="AV282" s="281"/>
      <c r="AW282" s="281"/>
      <c r="AX282" s="281"/>
      <c r="AY282" s="281"/>
      <c r="AZ282" s="281"/>
      <c r="BA282" s="281"/>
      <c r="BB282" s="281"/>
      <c r="BC282" s="281"/>
      <c r="BD282" s="281"/>
      <c r="BE282" s="281"/>
      <c r="BF282" s="281"/>
      <c r="BG282" s="281"/>
      <c r="BH282" s="281"/>
      <c r="BI282" s="281"/>
      <c r="BJ282" s="281"/>
      <c r="BK282" s="281"/>
      <c r="BL282" s="281"/>
      <c r="BM282" s="281"/>
      <c r="BN282" s="281"/>
      <c r="BO282" s="281"/>
      <c r="BP282" s="281"/>
      <c r="BQ282" s="281"/>
      <c r="BR282" s="281"/>
      <c r="BS282" s="281"/>
      <c r="BT282" s="281"/>
      <c r="BU282" s="281"/>
      <c r="BV282" s="281"/>
      <c r="BW282" s="281"/>
      <c r="BX282" s="281"/>
      <c r="BY282" s="281"/>
      <c r="BZ282" s="281"/>
    </row>
    <row r="283" spans="1:78" ht="12.75" customHeight="1" outlineLevel="1" x14ac:dyDescent="0.2">
      <c r="A283" s="422" t="s">
        <v>1032</v>
      </c>
      <c r="B283" s="43"/>
      <c r="C283" s="481"/>
      <c r="D283" s="481"/>
      <c r="E283" s="37"/>
      <c r="F283" s="426"/>
      <c r="G283" s="426"/>
      <c r="H283" s="450"/>
      <c r="I283" s="483"/>
      <c r="J283" s="817"/>
      <c r="K283" s="817"/>
      <c r="L283" s="711">
        <f t="shared" si="121"/>
        <v>0</v>
      </c>
      <c r="M283" s="711">
        <f t="shared" si="122"/>
        <v>0</v>
      </c>
      <c r="N283" s="485" t="str">
        <f t="shared" si="123"/>
        <v/>
      </c>
      <c r="O283" s="749"/>
      <c r="P283" s="742"/>
      <c r="Q283" s="743"/>
      <c r="R283" s="741"/>
      <c r="S283" s="751"/>
      <c r="T283" s="771"/>
      <c r="U283" s="772"/>
      <c r="V283" s="562">
        <f t="shared" si="125"/>
        <v>0</v>
      </c>
      <c r="W283" s="562">
        <f t="shared" si="126"/>
        <v>0</v>
      </c>
      <c r="X283" s="749"/>
      <c r="Y283" s="744"/>
      <c r="Z283" s="743"/>
      <c r="AA283" s="741"/>
      <c r="AB283" s="391"/>
      <c r="AC283" s="401"/>
      <c r="AD283" s="92"/>
      <c r="AE283" s="92"/>
      <c r="AF283" s="92"/>
      <c r="AG283" s="561">
        <f t="shared" si="120"/>
        <v>0</v>
      </c>
      <c r="AH283" s="405"/>
      <c r="AI283" s="405"/>
      <c r="AJ283" s="405"/>
      <c r="AK283" s="405"/>
      <c r="AL283" s="405"/>
      <c r="AM283" s="405"/>
      <c r="AN283" s="405"/>
      <c r="AO283" s="405"/>
      <c r="AP283" s="258"/>
      <c r="AQ283" s="258"/>
      <c r="AR283" s="281"/>
      <c r="AS283" s="281"/>
      <c r="AT283" s="281"/>
      <c r="AU283" s="281"/>
      <c r="AV283" s="281"/>
      <c r="AW283" s="281"/>
      <c r="AX283" s="281"/>
      <c r="AY283" s="281"/>
      <c r="AZ283" s="281"/>
      <c r="BA283" s="281"/>
      <c r="BB283" s="281"/>
      <c r="BC283" s="281"/>
      <c r="BD283" s="281"/>
      <c r="BE283" s="281"/>
      <c r="BF283" s="281"/>
      <c r="BG283" s="281"/>
      <c r="BH283" s="281"/>
      <c r="BI283" s="281"/>
      <c r="BJ283" s="281"/>
      <c r="BK283" s="281"/>
      <c r="BL283" s="281"/>
      <c r="BM283" s="281"/>
      <c r="BN283" s="281"/>
      <c r="BO283" s="281"/>
      <c r="BP283" s="281"/>
      <c r="BQ283" s="281"/>
      <c r="BR283" s="281"/>
      <c r="BS283" s="281"/>
      <c r="BT283" s="281"/>
      <c r="BU283" s="281"/>
      <c r="BV283" s="281"/>
      <c r="BW283" s="281"/>
      <c r="BX283" s="281"/>
      <c r="BY283" s="281"/>
      <c r="BZ283" s="281"/>
    </row>
    <row r="284" spans="1:78" ht="12.75" customHeight="1" outlineLevel="1" x14ac:dyDescent="0.2">
      <c r="A284" s="422" t="s">
        <v>1033</v>
      </c>
      <c r="B284" s="43"/>
      <c r="C284" s="481"/>
      <c r="D284" s="481"/>
      <c r="E284" s="37"/>
      <c r="F284" s="426"/>
      <c r="G284" s="426"/>
      <c r="H284" s="450"/>
      <c r="I284" s="483"/>
      <c r="J284" s="817"/>
      <c r="K284" s="817"/>
      <c r="L284" s="711">
        <f t="shared" si="121"/>
        <v>0</v>
      </c>
      <c r="M284" s="711">
        <f t="shared" si="122"/>
        <v>0</v>
      </c>
      <c r="N284" s="485" t="str">
        <f t="shared" si="123"/>
        <v/>
      </c>
      <c r="O284" s="749"/>
      <c r="P284" s="742"/>
      <c r="Q284" s="743"/>
      <c r="R284" s="741"/>
      <c r="S284" s="751"/>
      <c r="T284" s="771"/>
      <c r="U284" s="772"/>
      <c r="V284" s="562">
        <f t="shared" si="125"/>
        <v>0</v>
      </c>
      <c r="W284" s="562">
        <f t="shared" si="126"/>
        <v>0</v>
      </c>
      <c r="X284" s="749"/>
      <c r="Y284" s="744"/>
      <c r="Z284" s="743"/>
      <c r="AA284" s="741"/>
      <c r="AB284" s="391"/>
      <c r="AC284" s="401"/>
      <c r="AD284" s="92"/>
      <c r="AE284" s="92"/>
      <c r="AF284" s="92"/>
      <c r="AG284" s="561">
        <f t="shared" si="120"/>
        <v>0</v>
      </c>
      <c r="AH284" s="405"/>
      <c r="AI284" s="405"/>
      <c r="AJ284" s="405"/>
      <c r="AK284" s="405"/>
      <c r="AL284" s="405"/>
      <c r="AM284" s="405"/>
      <c r="AN284" s="405"/>
      <c r="AO284" s="405"/>
      <c r="AP284" s="258"/>
      <c r="AQ284" s="258"/>
      <c r="AR284" s="281"/>
      <c r="AS284" s="281"/>
      <c r="AT284" s="281"/>
      <c r="AU284" s="281"/>
      <c r="AV284" s="281"/>
      <c r="AW284" s="281"/>
      <c r="AX284" s="281"/>
      <c r="AY284" s="281"/>
      <c r="AZ284" s="281"/>
      <c r="BA284" s="281"/>
      <c r="BB284" s="281"/>
      <c r="BC284" s="281"/>
      <c r="BD284" s="281"/>
      <c r="BE284" s="281"/>
      <c r="BF284" s="281"/>
      <c r="BG284" s="281"/>
      <c r="BH284" s="281"/>
      <c r="BI284" s="281"/>
      <c r="BJ284" s="281"/>
      <c r="BK284" s="281"/>
      <c r="BL284" s="281"/>
      <c r="BM284" s="281"/>
      <c r="BN284" s="281"/>
      <c r="BO284" s="281"/>
      <c r="BP284" s="281"/>
      <c r="BQ284" s="281"/>
      <c r="BR284" s="281"/>
      <c r="BS284" s="281"/>
      <c r="BT284" s="281"/>
      <c r="BU284" s="281"/>
      <c r="BV284" s="281"/>
      <c r="BW284" s="281"/>
      <c r="BX284" s="281"/>
      <c r="BY284" s="281"/>
      <c r="BZ284" s="281"/>
    </row>
    <row r="285" spans="1:78" x14ac:dyDescent="0.2">
      <c r="A285" s="469"/>
      <c r="B285" s="712" t="str">
        <f>IF(Stammblatt!$L$4=1,'Kalkulation Herstellungskosten'!AP285,'Kalkulation Herstellungskosten'!AQ285)</f>
        <v>Σ-Honorare</v>
      </c>
      <c r="C285" s="470"/>
      <c r="D285" s="471"/>
      <c r="E285" s="472"/>
      <c r="F285" s="472"/>
      <c r="G285" s="515">
        <f ca="1">SUM(E225:E284)</f>
        <v>0</v>
      </c>
      <c r="H285" s="472"/>
      <c r="I285" s="473"/>
      <c r="J285" s="474"/>
      <c r="K285" s="472"/>
      <c r="L285" s="472"/>
      <c r="M285" s="472"/>
      <c r="N285" s="475"/>
      <c r="O285" s="756">
        <f>SUM(O225:O284)</f>
        <v>0</v>
      </c>
      <c r="P285" s="756">
        <f t="shared" ref="P285:R285" si="131">SUM(P225:P284)</f>
        <v>0</v>
      </c>
      <c r="Q285" s="756">
        <f t="shared" si="131"/>
        <v>0</v>
      </c>
      <c r="R285" s="756">
        <f t="shared" si="131"/>
        <v>0</v>
      </c>
      <c r="S285" s="751"/>
      <c r="T285" s="757">
        <f>SUM(T225:T284)</f>
        <v>0</v>
      </c>
      <c r="U285" s="756">
        <f>SUM(U225:U284)</f>
        <v>0</v>
      </c>
      <c r="V285" s="756">
        <f>SUM(V225:V284)</f>
        <v>0</v>
      </c>
      <c r="W285" s="718">
        <f ca="1">G285-V285</f>
        <v>0</v>
      </c>
      <c r="X285" s="756">
        <f>SUM(X225:X284)</f>
        <v>0</v>
      </c>
      <c r="Y285" s="756">
        <f>SUM(Y225:Y284)</f>
        <v>0</v>
      </c>
      <c r="Z285" s="756">
        <f t="shared" ref="Z285:AA285" si="132">SUM(Z225:Z284)</f>
        <v>0</v>
      </c>
      <c r="AA285" s="756">
        <f t="shared" si="132"/>
        <v>0</v>
      </c>
      <c r="AB285" s="391"/>
      <c r="AC285" s="401"/>
      <c r="AD285" s="720">
        <f>SUM(AD225:AD284)</f>
        <v>0</v>
      </c>
      <c r="AE285" s="720">
        <f t="shared" ref="AE285:AF285" si="133">SUM(AE225:AE284)</f>
        <v>0</v>
      </c>
      <c r="AF285" s="720">
        <f t="shared" si="133"/>
        <v>0</v>
      </c>
      <c r="AG285" s="561">
        <f ca="1">SUM(G285,AD285:AF285)</f>
        <v>0</v>
      </c>
      <c r="AH285" s="405"/>
      <c r="AI285" s="405"/>
      <c r="AJ285" s="405"/>
      <c r="AK285" s="405"/>
      <c r="AL285" s="405"/>
      <c r="AM285" s="405"/>
      <c r="AN285" s="405"/>
      <c r="AO285" s="405"/>
      <c r="AP285" s="258" t="s">
        <v>230</v>
      </c>
      <c r="AQ285" s="258" t="s">
        <v>372</v>
      </c>
      <c r="AR285" s="281"/>
      <c r="AS285" s="281"/>
      <c r="AT285" s="281"/>
      <c r="AU285" s="281"/>
      <c r="AV285" s="281"/>
      <c r="AW285" s="281"/>
      <c r="AX285" s="281"/>
      <c r="AY285" s="281"/>
      <c r="AZ285" s="281"/>
      <c r="BA285" s="281"/>
      <c r="BB285" s="281"/>
      <c r="BC285" s="281"/>
      <c r="BD285" s="281"/>
      <c r="BE285" s="281"/>
      <c r="BF285" s="281"/>
      <c r="BG285" s="281"/>
      <c r="BH285" s="281"/>
      <c r="BI285" s="281"/>
      <c r="BJ285" s="281"/>
      <c r="BK285" s="281"/>
      <c r="BL285" s="281"/>
      <c r="BM285" s="281"/>
      <c r="BN285" s="281"/>
      <c r="BO285" s="281"/>
      <c r="BP285" s="281"/>
      <c r="BQ285" s="281"/>
      <c r="BR285" s="281"/>
      <c r="BS285" s="281"/>
      <c r="BT285" s="281"/>
      <c r="BU285" s="281"/>
      <c r="BV285" s="281"/>
      <c r="BW285" s="281"/>
      <c r="BX285" s="281"/>
      <c r="BY285" s="281"/>
      <c r="BZ285" s="281"/>
    </row>
    <row r="286" spans="1:78" x14ac:dyDescent="0.2">
      <c r="A286" s="398"/>
      <c r="B286" s="286"/>
      <c r="C286" s="399"/>
      <c r="D286" s="391"/>
      <c r="E286" s="400"/>
      <c r="F286" s="400"/>
      <c r="G286" s="400"/>
      <c r="H286" s="431"/>
      <c r="I286" s="394"/>
      <c r="J286" s="432"/>
      <c r="K286" s="431"/>
      <c r="L286" s="431"/>
      <c r="M286" s="431"/>
      <c r="N286" s="433"/>
      <c r="O286" s="745"/>
      <c r="P286" s="745"/>
      <c r="Q286" s="892"/>
      <c r="R286" s="892"/>
      <c r="S286" s="751"/>
      <c r="T286" s="746"/>
      <c r="U286" s="435"/>
      <c r="V286" s="435"/>
      <c r="W286" s="435"/>
      <c r="X286" s="435"/>
      <c r="Y286" s="745"/>
      <c r="Z286" s="745"/>
      <c r="AA286" s="745"/>
      <c r="AB286" s="391"/>
      <c r="AC286" s="401"/>
      <c r="AD286" s="472"/>
      <c r="AE286" s="472"/>
      <c r="AF286" s="472"/>
      <c r="AG286" s="281"/>
      <c r="AH286" s="405"/>
      <c r="AI286" s="405"/>
      <c r="AJ286" s="405"/>
      <c r="AK286" s="405"/>
      <c r="AL286" s="405"/>
      <c r="AM286" s="405"/>
      <c r="AN286" s="405"/>
      <c r="AO286" s="405"/>
      <c r="AP286" s="258"/>
      <c r="AQ286" s="258"/>
      <c r="AR286" s="281"/>
      <c r="AS286" s="281"/>
      <c r="AT286" s="281"/>
      <c r="AU286" s="281"/>
      <c r="AV286" s="281"/>
      <c r="AW286" s="281"/>
      <c r="AX286" s="281"/>
      <c r="AY286" s="281"/>
      <c r="AZ286" s="281"/>
      <c r="BA286" s="281"/>
      <c r="BB286" s="281"/>
      <c r="BC286" s="281"/>
      <c r="BD286" s="281"/>
      <c r="BE286" s="281"/>
      <c r="BF286" s="281"/>
      <c r="BG286" s="281"/>
      <c r="BH286" s="281"/>
      <c r="BI286" s="281"/>
      <c r="BJ286" s="281"/>
      <c r="BK286" s="281"/>
      <c r="BL286" s="281"/>
      <c r="BM286" s="281"/>
      <c r="BN286" s="281"/>
      <c r="BO286" s="281"/>
      <c r="BP286" s="281"/>
      <c r="BQ286" s="281"/>
      <c r="BR286" s="281"/>
      <c r="BS286" s="281"/>
      <c r="BT286" s="281"/>
      <c r="BU286" s="281"/>
      <c r="BV286" s="281"/>
      <c r="BW286" s="281"/>
      <c r="BX286" s="281"/>
      <c r="BY286" s="281"/>
      <c r="BZ286" s="281"/>
    </row>
    <row r="287" spans="1:78" x14ac:dyDescent="0.2">
      <c r="A287" s="112"/>
      <c r="B287" s="65" t="str">
        <f>IF(Stammblatt!$L$4=1,'Kalkulation Herstellungskosten'!AP287,'Kalkulation Herstellungskosten'!AQ287)</f>
        <v>Σ-Gagen, Löhne, Honorare</v>
      </c>
      <c r="C287" s="31"/>
      <c r="D287" s="40"/>
      <c r="E287" s="39"/>
      <c r="F287" s="39"/>
      <c r="G287" s="39">
        <f ca="1">SUM(G206,G208,G209,G218,G221,G222,G285)</f>
        <v>0</v>
      </c>
      <c r="H287" s="39"/>
      <c r="I287" s="135"/>
      <c r="J287" s="143"/>
      <c r="K287" s="39"/>
      <c r="L287" s="139">
        <f>SUM(L225:L285,L206)</f>
        <v>0</v>
      </c>
      <c r="M287" s="139">
        <f>SUM(M225:M285,M206)</f>
        <v>0</v>
      </c>
      <c r="N287" s="141"/>
      <c r="O287" s="747">
        <f>SUM(O206,O208,O209,O218,O221,O222,O285)</f>
        <v>0</v>
      </c>
      <c r="P287" s="747">
        <f>SUM(P206,P208,P209,P218,P221,P222,P285)</f>
        <v>0</v>
      </c>
      <c r="Q287" s="113">
        <f t="shared" ref="Q287:R287" si="134">SUM(Q206,Q208,Q209,Q218,Q221,Q222,Q285)</f>
        <v>0</v>
      </c>
      <c r="R287" s="113">
        <f t="shared" si="134"/>
        <v>0</v>
      </c>
      <c r="S287" s="751"/>
      <c r="T287" s="748">
        <f>SUM(T285,T221:T222,T218,T208:T209,T206)</f>
        <v>0</v>
      </c>
      <c r="U287" s="113">
        <f>SUM(U285,U221:U222,U218,U208:U209,U206)</f>
        <v>0</v>
      </c>
      <c r="V287" s="113">
        <f>SUM(V285,V221:V222,V218,V208:V209,V206)</f>
        <v>0</v>
      </c>
      <c r="W287" s="149">
        <f ca="1">ZS_3_Gagen-V287</f>
        <v>0</v>
      </c>
      <c r="X287" s="113">
        <f>SUM(X206,X208,X209,X218,X221,X222,X285)</f>
        <v>0</v>
      </c>
      <c r="Y287" s="113">
        <f>SUM(Y206,Y208,Y209,Y218,Y221,Y222,Y285)</f>
        <v>0</v>
      </c>
      <c r="Z287" s="113">
        <f t="shared" ref="Z287:AA287" si="135">SUM(Z206,Z208,Z209,Z218,Z221,Z222,Z285)</f>
        <v>0</v>
      </c>
      <c r="AA287" s="113">
        <f t="shared" si="135"/>
        <v>0</v>
      </c>
      <c r="AB287" s="391"/>
      <c r="AC287" s="401"/>
      <c r="AD287" s="104">
        <f>SUM(AD206,AD208,AD209,AD218,AD221,AD222,AD285)</f>
        <v>0</v>
      </c>
      <c r="AE287" s="104">
        <f>SUM(AE206,AE208,AE209,AE218,AE221,AE222,AE285)</f>
        <v>0</v>
      </c>
      <c r="AF287" s="104">
        <f>SUM(AF206,AF208,AF209,AF218,AF221,AF222,AF285)</f>
        <v>0</v>
      </c>
      <c r="AG287" s="39">
        <f ca="1">SUM(G287,AD287:AF287)</f>
        <v>0</v>
      </c>
      <c r="AH287" s="405"/>
      <c r="AI287" s="405"/>
      <c r="AJ287" s="405"/>
      <c r="AK287" s="405"/>
      <c r="AL287" s="405"/>
      <c r="AM287" s="405"/>
      <c r="AN287" s="405"/>
      <c r="AO287" s="405"/>
      <c r="AP287" s="258" t="s">
        <v>237</v>
      </c>
      <c r="AQ287" s="258" t="s">
        <v>373</v>
      </c>
      <c r="AR287" s="281"/>
      <c r="AS287" s="281"/>
      <c r="AT287" s="281"/>
      <c r="AU287" s="281"/>
      <c r="AV287" s="281"/>
      <c r="AW287" s="281"/>
      <c r="AX287" s="281"/>
      <c r="AY287" s="281"/>
      <c r="AZ287" s="281"/>
      <c r="BA287" s="281"/>
      <c r="BB287" s="281"/>
      <c r="BC287" s="281"/>
      <c r="BD287" s="281"/>
      <c r="BE287" s="281"/>
      <c r="BF287" s="281"/>
      <c r="BG287" s="281"/>
      <c r="BH287" s="281"/>
      <c r="BI287" s="281"/>
      <c r="BJ287" s="281"/>
      <c r="BK287" s="281"/>
      <c r="BL287" s="281"/>
      <c r="BM287" s="281"/>
      <c r="BN287" s="281"/>
      <c r="BO287" s="281"/>
      <c r="BP287" s="281"/>
      <c r="BQ287" s="281"/>
      <c r="BR287" s="281"/>
      <c r="BS287" s="281"/>
      <c r="BT287" s="281"/>
      <c r="BU287" s="281"/>
      <c r="BV287" s="281"/>
      <c r="BW287" s="281"/>
      <c r="BX287" s="281"/>
      <c r="BY287" s="281"/>
      <c r="BZ287" s="281"/>
    </row>
    <row r="288" spans="1:78" x14ac:dyDescent="0.2">
      <c r="A288" s="398"/>
      <c r="B288" s="286"/>
      <c r="C288" s="399"/>
      <c r="D288" s="391"/>
      <c r="E288" s="400"/>
      <c r="F288" s="400"/>
      <c r="G288" s="400"/>
      <c r="H288" s="431"/>
      <c r="I288" s="394"/>
      <c r="J288" s="432"/>
      <c r="K288" s="431"/>
      <c r="L288" s="431"/>
      <c r="M288" s="431"/>
      <c r="N288" s="433"/>
      <c r="O288" s="745"/>
      <c r="P288" s="745"/>
      <c r="Q288" s="745"/>
      <c r="R288" s="745"/>
      <c r="S288" s="751"/>
      <c r="T288" s="746"/>
      <c r="U288" s="435"/>
      <c r="V288" s="435"/>
      <c r="W288" s="435"/>
      <c r="X288" s="435"/>
      <c r="Y288" s="745"/>
      <c r="Z288" s="745"/>
      <c r="AA288" s="745"/>
      <c r="AB288" s="391"/>
      <c r="AC288" s="401"/>
      <c r="AD288" s="400"/>
      <c r="AE288" s="400"/>
      <c r="AF288" s="400"/>
      <c r="AG288" s="281"/>
      <c r="AH288" s="405"/>
      <c r="AI288" s="405"/>
      <c r="AJ288" s="405"/>
      <c r="AK288" s="405"/>
      <c r="AL288" s="405"/>
      <c r="AM288" s="405"/>
      <c r="AN288" s="405"/>
      <c r="AO288" s="405"/>
      <c r="AP288" s="258"/>
      <c r="AQ288" s="258"/>
      <c r="AR288" s="281"/>
      <c r="AS288" s="281"/>
      <c r="AT288" s="281"/>
      <c r="AU288" s="281"/>
      <c r="AV288" s="281"/>
      <c r="AW288" s="281"/>
      <c r="AX288" s="281"/>
      <c r="AY288" s="281"/>
      <c r="AZ288" s="281"/>
      <c r="BA288" s="281"/>
      <c r="BB288" s="281"/>
      <c r="BC288" s="281"/>
      <c r="BD288" s="281"/>
      <c r="BE288" s="281"/>
      <c r="BF288" s="281"/>
      <c r="BG288" s="281"/>
      <c r="BH288" s="281"/>
      <c r="BI288" s="281"/>
      <c r="BJ288" s="281"/>
      <c r="BK288" s="281"/>
      <c r="BL288" s="281"/>
      <c r="BM288" s="281"/>
      <c r="BN288" s="281"/>
      <c r="BO288" s="281"/>
      <c r="BP288" s="281"/>
      <c r="BQ288" s="281"/>
      <c r="BR288" s="281"/>
      <c r="BS288" s="281"/>
      <c r="BT288" s="281"/>
      <c r="BU288" s="281"/>
      <c r="BV288" s="281"/>
      <c r="BW288" s="281"/>
      <c r="BX288" s="281"/>
      <c r="BY288" s="281"/>
      <c r="BZ288" s="281"/>
    </row>
    <row r="289" spans="1:78" x14ac:dyDescent="0.2">
      <c r="A289" s="398"/>
      <c r="B289" s="286"/>
      <c r="C289" s="399"/>
      <c r="D289" s="391"/>
      <c r="E289" s="400"/>
      <c r="F289" s="400"/>
      <c r="G289" s="400"/>
      <c r="H289" s="431"/>
      <c r="I289" s="394"/>
      <c r="J289" s="432"/>
      <c r="K289" s="431"/>
      <c r="L289" s="431"/>
      <c r="M289" s="431"/>
      <c r="N289" s="433"/>
      <c r="O289" s="745"/>
      <c r="P289" s="745"/>
      <c r="Q289" s="745"/>
      <c r="R289" s="745"/>
      <c r="S289" s="751"/>
      <c r="T289" s="746"/>
      <c r="U289" s="435"/>
      <c r="V289" s="435"/>
      <c r="W289" s="435"/>
      <c r="X289" s="435"/>
      <c r="Y289" s="745"/>
      <c r="Z289" s="745"/>
      <c r="AA289" s="745"/>
      <c r="AB289" s="391"/>
      <c r="AC289" s="401"/>
      <c r="AD289" s="400"/>
      <c r="AE289" s="400"/>
      <c r="AF289" s="400"/>
      <c r="AG289" s="281"/>
      <c r="AH289" s="405"/>
      <c r="AI289" s="405"/>
      <c r="AJ289" s="405"/>
      <c r="AK289" s="405"/>
      <c r="AL289" s="405"/>
      <c r="AM289" s="405"/>
      <c r="AN289" s="405"/>
      <c r="AO289" s="405"/>
      <c r="AP289" s="258"/>
      <c r="AQ289" s="258"/>
      <c r="AR289" s="281"/>
      <c r="AS289" s="281"/>
      <c r="AT289" s="281"/>
      <c r="AU289" s="281"/>
      <c r="AV289" s="281"/>
      <c r="AW289" s="281"/>
      <c r="AX289" s="281"/>
      <c r="AY289" s="281"/>
      <c r="AZ289" s="281"/>
      <c r="BA289" s="281"/>
      <c r="BB289" s="281"/>
      <c r="BC289" s="281"/>
      <c r="BD289" s="281"/>
      <c r="BE289" s="281"/>
      <c r="BF289" s="281"/>
      <c r="BG289" s="281"/>
      <c r="BH289" s="281"/>
      <c r="BI289" s="281"/>
      <c r="BJ289" s="281"/>
      <c r="BK289" s="281"/>
      <c r="BL289" s="281"/>
      <c r="BM289" s="281"/>
      <c r="BN289" s="281"/>
      <c r="BO289" s="281"/>
      <c r="BP289" s="281"/>
      <c r="BQ289" s="281"/>
      <c r="BR289" s="281"/>
      <c r="BS289" s="281"/>
      <c r="BT289" s="281"/>
      <c r="BU289" s="281"/>
      <c r="BV289" s="281"/>
      <c r="BW289" s="281"/>
      <c r="BX289" s="281"/>
      <c r="BY289" s="281"/>
      <c r="BZ289" s="281"/>
    </row>
    <row r="290" spans="1:78" s="25" customFormat="1" x14ac:dyDescent="0.2">
      <c r="A290" s="406"/>
      <c r="B290" s="730" t="str">
        <f>IF(Stammblatt!$L$4=1,'Kalkulation Herstellungskosten'!AP290,'Kalkulation Herstellungskosten'!AQ290)</f>
        <v>4. Bild- und Tonaufnahme</v>
      </c>
      <c r="C290" s="403"/>
      <c r="D290" s="407"/>
      <c r="E290" s="408"/>
      <c r="F290" s="408"/>
      <c r="G290" s="408"/>
      <c r="H290" s="401"/>
      <c r="I290" s="402"/>
      <c r="J290" s="409"/>
      <c r="K290" s="401"/>
      <c r="L290" s="401"/>
      <c r="M290" s="401"/>
      <c r="N290" s="410"/>
      <c r="O290" s="737"/>
      <c r="P290" s="737"/>
      <c r="Q290" s="737"/>
      <c r="R290" s="737"/>
      <c r="S290" s="751"/>
      <c r="T290" s="740"/>
      <c r="U290" s="441"/>
      <c r="V290" s="441"/>
      <c r="W290" s="441"/>
      <c r="X290" s="441"/>
      <c r="Y290" s="737"/>
      <c r="Z290" s="737"/>
      <c r="AA290" s="737"/>
      <c r="AB290" s="391"/>
      <c r="AC290" s="401"/>
      <c r="AD290" s="408"/>
      <c r="AE290" s="408"/>
      <c r="AF290" s="408"/>
      <c r="AG290" s="411"/>
      <c r="AH290" s="405"/>
      <c r="AI290" s="405"/>
      <c r="AJ290" s="405"/>
      <c r="AK290" s="405"/>
      <c r="AL290" s="405"/>
      <c r="AM290" s="405"/>
      <c r="AN290" s="405"/>
      <c r="AO290" s="405"/>
      <c r="AP290" s="258" t="s">
        <v>51</v>
      </c>
      <c r="AQ290" s="258" t="s">
        <v>391</v>
      </c>
      <c r="AR290" s="411"/>
      <c r="AS290" s="411"/>
      <c r="AT290" s="411"/>
      <c r="AU290" s="411"/>
      <c r="AV290" s="411"/>
      <c r="AW290" s="411"/>
      <c r="AX290" s="411"/>
      <c r="AY290" s="411"/>
      <c r="AZ290" s="411"/>
      <c r="BA290" s="411"/>
      <c r="BB290" s="411"/>
      <c r="BC290" s="411"/>
      <c r="BD290" s="411"/>
      <c r="BE290" s="411"/>
      <c r="BF290" s="411"/>
      <c r="BG290" s="411"/>
      <c r="BH290" s="411"/>
      <c r="BI290" s="411"/>
      <c r="BJ290" s="411"/>
      <c r="BK290" s="411"/>
      <c r="BL290" s="411"/>
      <c r="BM290" s="411"/>
      <c r="BN290" s="411"/>
      <c r="BO290" s="411"/>
      <c r="BP290" s="411"/>
      <c r="BQ290" s="411"/>
      <c r="BR290" s="411"/>
      <c r="BS290" s="411"/>
      <c r="BT290" s="411"/>
      <c r="BU290" s="411"/>
      <c r="BV290" s="411"/>
      <c r="BW290" s="411"/>
      <c r="BX290" s="411"/>
      <c r="BY290" s="411"/>
      <c r="BZ290" s="411"/>
    </row>
    <row r="291" spans="1:78" s="25" customFormat="1" x14ac:dyDescent="0.2">
      <c r="A291" s="406"/>
      <c r="B291" s="296"/>
      <c r="C291" s="436" t="str">
        <f>IF(Stammblatt!$L$4=1,"Wochen","weeks")</f>
        <v>Wochen</v>
      </c>
      <c r="D291" s="436" t="s">
        <v>626</v>
      </c>
      <c r="E291" s="408"/>
      <c r="F291" s="408"/>
      <c r="G291" s="408"/>
      <c r="H291" s="401"/>
      <c r="I291" s="402"/>
      <c r="J291" s="409"/>
      <c r="K291" s="401"/>
      <c r="L291" s="401"/>
      <c r="M291" s="401"/>
      <c r="N291" s="410"/>
      <c r="O291" s="737"/>
      <c r="P291" s="737"/>
      <c r="Q291" s="737"/>
      <c r="R291" s="737"/>
      <c r="S291" s="751"/>
      <c r="T291" s="740"/>
      <c r="U291" s="441"/>
      <c r="V291" s="441"/>
      <c r="W291" s="441"/>
      <c r="X291" s="441"/>
      <c r="Y291" s="737"/>
      <c r="Z291" s="737"/>
      <c r="AA291" s="737"/>
      <c r="AB291" s="391"/>
      <c r="AC291" s="401"/>
      <c r="AD291" s="408"/>
      <c r="AE291" s="408"/>
      <c r="AF291" s="408"/>
      <c r="AG291" s="411"/>
      <c r="AH291" s="405"/>
      <c r="AI291" s="405"/>
      <c r="AJ291" s="415" t="s">
        <v>626</v>
      </c>
      <c r="AK291" s="405"/>
      <c r="AL291" s="405"/>
      <c r="AM291" s="405"/>
      <c r="AN291" s="405"/>
      <c r="AO291" s="405"/>
      <c r="AP291" s="258"/>
      <c r="AQ291" s="258"/>
      <c r="AR291" s="411"/>
      <c r="AS291" s="411"/>
      <c r="AT291" s="411"/>
      <c r="AU291" s="411"/>
      <c r="AV291" s="411"/>
      <c r="AW291" s="411"/>
      <c r="AX291" s="411"/>
      <c r="AY291" s="411"/>
      <c r="AZ291" s="411"/>
      <c r="BA291" s="411"/>
      <c r="BB291" s="411"/>
      <c r="BC291" s="411"/>
      <c r="BD291" s="411"/>
      <c r="BE291" s="411"/>
      <c r="BF291" s="411"/>
      <c r="BG291" s="411"/>
      <c r="BH291" s="411"/>
      <c r="BI291" s="411"/>
      <c r="BJ291" s="411"/>
      <c r="BK291" s="411"/>
      <c r="BL291" s="411"/>
      <c r="BM291" s="411"/>
      <c r="BN291" s="411"/>
      <c r="BO291" s="411"/>
      <c r="BP291" s="411"/>
      <c r="BQ291" s="411"/>
      <c r="BR291" s="411"/>
      <c r="BS291" s="411"/>
      <c r="BT291" s="411"/>
      <c r="BU291" s="411"/>
      <c r="BV291" s="411"/>
      <c r="BW291" s="411"/>
      <c r="BX291" s="411"/>
      <c r="BY291" s="411"/>
      <c r="BZ291" s="411"/>
    </row>
    <row r="292" spans="1:78" x14ac:dyDescent="0.2">
      <c r="A292" s="422">
        <v>79</v>
      </c>
      <c r="B292" s="716" t="str">
        <f>IF(Stammblatt!$L$4=1,'Kalkulation Herstellungskosten'!AP292,'Kalkulation Herstellungskosten'!AQ292)</f>
        <v>Kamera (Ton), Zubehör  35/16 *)</v>
      </c>
      <c r="C292" s="33">
        <v>0</v>
      </c>
      <c r="D292" s="425"/>
      <c r="E292" s="37">
        <v>0</v>
      </c>
      <c r="F292" s="426"/>
      <c r="G292" s="426">
        <f>C292*E292</f>
        <v>0</v>
      </c>
      <c r="H292" s="427"/>
      <c r="I292" s="428"/>
      <c r="J292" s="429"/>
      <c r="K292" s="427"/>
      <c r="L292" s="427"/>
      <c r="M292" s="427"/>
      <c r="N292" s="430"/>
      <c r="O292" s="749"/>
      <c r="P292" s="742"/>
      <c r="Q292" s="743"/>
      <c r="R292" s="741"/>
      <c r="S292" s="751"/>
      <c r="T292" s="758"/>
      <c r="U292" s="741"/>
      <c r="V292" s="808">
        <f>SUM(T292:U292)</f>
        <v>0</v>
      </c>
      <c r="W292" s="562">
        <f>G292-V292</f>
        <v>0</v>
      </c>
      <c r="X292" s="749"/>
      <c r="Y292" s="744"/>
      <c r="Z292" s="743"/>
      <c r="AA292" s="741"/>
      <c r="AB292" s="391"/>
      <c r="AC292" s="401"/>
      <c r="AD292" s="92"/>
      <c r="AE292" s="92"/>
      <c r="AF292" s="92"/>
      <c r="AG292" s="561">
        <f>SUM(G292,AD292:AF292)</f>
        <v>0</v>
      </c>
      <c r="AH292" s="405"/>
      <c r="AI292" s="405"/>
      <c r="AJ292" s="414" t="b">
        <v>0</v>
      </c>
      <c r="AK292" s="414"/>
      <c r="AL292" s="414"/>
      <c r="AM292" s="414"/>
      <c r="AN292" s="414"/>
      <c r="AO292" s="414"/>
      <c r="AP292" s="258" t="s">
        <v>52</v>
      </c>
      <c r="AQ292" s="258" t="s">
        <v>374</v>
      </c>
      <c r="AR292" s="281"/>
      <c r="AS292" s="281"/>
      <c r="AT292" s="281"/>
      <c r="AU292" s="281"/>
      <c r="AV292" s="281"/>
      <c r="AW292" s="281"/>
      <c r="AX292" s="281"/>
      <c r="AY292" s="281"/>
      <c r="AZ292" s="281"/>
      <c r="BA292" s="281"/>
      <c r="BB292" s="281"/>
      <c r="BC292" s="281"/>
      <c r="BD292" s="281"/>
      <c r="BE292" s="281"/>
      <c r="BF292" s="281"/>
      <c r="BG292" s="281"/>
      <c r="BH292" s="281"/>
      <c r="BI292" s="281"/>
      <c r="BJ292" s="281"/>
      <c r="BK292" s="281"/>
      <c r="BL292" s="281"/>
      <c r="BM292" s="281"/>
      <c r="BN292" s="281"/>
      <c r="BO292" s="281"/>
      <c r="BP292" s="281"/>
      <c r="BQ292" s="281"/>
      <c r="BR292" s="281"/>
      <c r="BS292" s="281"/>
      <c r="BT292" s="281"/>
      <c r="BU292" s="281"/>
      <c r="BV292" s="281"/>
      <c r="BW292" s="281"/>
      <c r="BX292" s="281"/>
      <c r="BY292" s="281"/>
      <c r="BZ292" s="281"/>
    </row>
    <row r="293" spans="1:78" x14ac:dyDescent="0.2">
      <c r="A293" s="422">
        <v>80</v>
      </c>
      <c r="B293" s="716" t="str">
        <f>IF(Stammblatt!$L$4=1,'Kalkulation Herstellungskosten'!AP293,'Kalkulation Herstellungskosten'!AQ293)</f>
        <v>Kamera (stumm), Zubehör  35/16</v>
      </c>
      <c r="C293" s="33">
        <v>0</v>
      </c>
      <c r="D293" s="425"/>
      <c r="E293" s="37">
        <v>0</v>
      </c>
      <c r="F293" s="426"/>
      <c r="G293" s="426">
        <f>C293*E293</f>
        <v>0</v>
      </c>
      <c r="H293" s="427"/>
      <c r="I293" s="428"/>
      <c r="J293" s="460"/>
      <c r="K293" s="461"/>
      <c r="L293" s="461"/>
      <c r="M293" s="461"/>
      <c r="N293" s="462"/>
      <c r="O293" s="749"/>
      <c r="P293" s="742"/>
      <c r="Q293" s="743"/>
      <c r="R293" s="741"/>
      <c r="S293" s="751"/>
      <c r="T293" s="758"/>
      <c r="U293" s="741"/>
      <c r="V293" s="808">
        <f>SUM(T293:U293)</f>
        <v>0</v>
      </c>
      <c r="W293" s="562">
        <f>G293-V293</f>
        <v>0</v>
      </c>
      <c r="X293" s="749"/>
      <c r="Y293" s="744"/>
      <c r="Z293" s="743"/>
      <c r="AA293" s="741"/>
      <c r="AB293" s="391"/>
      <c r="AC293" s="401"/>
      <c r="AD293" s="92"/>
      <c r="AE293" s="92"/>
      <c r="AF293" s="92"/>
      <c r="AG293" s="561">
        <f>SUM(G293,AD293:AF293)</f>
        <v>0</v>
      </c>
      <c r="AH293" s="405"/>
      <c r="AI293" s="405"/>
      <c r="AJ293" s="405"/>
      <c r="AK293" s="405"/>
      <c r="AL293" s="405"/>
      <c r="AM293" s="405"/>
      <c r="AN293" s="405"/>
      <c r="AO293" s="405"/>
      <c r="AP293" s="258" t="s">
        <v>53</v>
      </c>
      <c r="AQ293" s="258" t="s">
        <v>375</v>
      </c>
      <c r="AR293" s="281"/>
      <c r="AS293" s="281"/>
      <c r="AT293" s="281"/>
      <c r="AU293" s="281"/>
      <c r="AV293" s="281"/>
      <c r="AW293" s="281"/>
      <c r="AX293" s="281"/>
      <c r="AY293" s="281"/>
      <c r="AZ293" s="281"/>
      <c r="BA293" s="281"/>
      <c r="BB293" s="281"/>
      <c r="BC293" s="281"/>
      <c r="BD293" s="281"/>
      <c r="BE293" s="281"/>
      <c r="BF293" s="281"/>
      <c r="BG293" s="281"/>
      <c r="BH293" s="281"/>
      <c r="BI293" s="281"/>
      <c r="BJ293" s="281"/>
      <c r="BK293" s="281"/>
      <c r="BL293" s="281"/>
      <c r="BM293" s="281"/>
      <c r="BN293" s="281"/>
      <c r="BO293" s="281"/>
      <c r="BP293" s="281"/>
      <c r="BQ293" s="281"/>
      <c r="BR293" s="281"/>
      <c r="BS293" s="281"/>
      <c r="BT293" s="281"/>
      <c r="BU293" s="281"/>
      <c r="BV293" s="281"/>
      <c r="BW293" s="281"/>
      <c r="BX293" s="281"/>
      <c r="BY293" s="281"/>
      <c r="BZ293" s="281"/>
    </row>
    <row r="294" spans="1:78" x14ac:dyDescent="0.2">
      <c r="A294" s="422">
        <v>81</v>
      </c>
      <c r="B294" s="716" t="str">
        <f>IF(Stammblatt!$L$4=1,'Kalkulation Herstellungskosten'!AP294,'Kalkulation Herstellungskosten'!AQ294)</f>
        <v xml:space="preserve">Tonaufnahmegeräte, Zubehör *) </v>
      </c>
      <c r="C294" s="33">
        <v>0</v>
      </c>
      <c r="D294" s="425"/>
      <c r="E294" s="37">
        <v>0</v>
      </c>
      <c r="F294" s="426"/>
      <c r="G294" s="426">
        <f>C294*E294</f>
        <v>0</v>
      </c>
      <c r="H294" s="427"/>
      <c r="I294" s="428"/>
      <c r="J294" s="460"/>
      <c r="K294" s="461"/>
      <c r="L294" s="461"/>
      <c r="M294" s="461"/>
      <c r="N294" s="462"/>
      <c r="O294" s="749"/>
      <c r="P294" s="742"/>
      <c r="Q294" s="743"/>
      <c r="R294" s="741"/>
      <c r="S294" s="751"/>
      <c r="T294" s="758"/>
      <c r="U294" s="741"/>
      <c r="V294" s="808">
        <f>SUM(T294:U294)</f>
        <v>0</v>
      </c>
      <c r="W294" s="562">
        <f>G294-V294</f>
        <v>0</v>
      </c>
      <c r="X294" s="749"/>
      <c r="Y294" s="744"/>
      <c r="Z294" s="743"/>
      <c r="AA294" s="741"/>
      <c r="AB294" s="391"/>
      <c r="AC294" s="401"/>
      <c r="AD294" s="92"/>
      <c r="AE294" s="92"/>
      <c r="AF294" s="92"/>
      <c r="AG294" s="561">
        <f>SUM(G294,AD294:AF294)</f>
        <v>0</v>
      </c>
      <c r="AH294" s="405"/>
      <c r="AI294" s="405"/>
      <c r="AJ294" s="414" t="b">
        <v>0</v>
      </c>
      <c r="AK294" s="414"/>
      <c r="AL294" s="414"/>
      <c r="AM294" s="414"/>
      <c r="AN294" s="414"/>
      <c r="AO294" s="414"/>
      <c r="AP294" s="258" t="s">
        <v>54</v>
      </c>
      <c r="AQ294" s="258" t="s">
        <v>376</v>
      </c>
      <c r="AR294" s="281"/>
      <c r="AS294" s="281"/>
      <c r="AT294" s="281"/>
      <c r="AU294" s="281"/>
      <c r="AV294" s="281"/>
      <c r="AW294" s="281"/>
      <c r="AX294" s="281"/>
      <c r="AY294" s="281"/>
      <c r="AZ294" s="281"/>
      <c r="BA294" s="281"/>
      <c r="BB294" s="281"/>
      <c r="BC294" s="281"/>
      <c r="BD294" s="281"/>
      <c r="BE294" s="281"/>
      <c r="BF294" s="281"/>
      <c r="BG294" s="281"/>
      <c r="BH294" s="281"/>
      <c r="BI294" s="281"/>
      <c r="BJ294" s="281"/>
      <c r="BK294" s="281"/>
      <c r="BL294" s="281"/>
      <c r="BM294" s="281"/>
      <c r="BN294" s="281"/>
      <c r="BO294" s="281"/>
      <c r="BP294" s="281"/>
      <c r="BQ294" s="281"/>
      <c r="BR294" s="281"/>
      <c r="BS294" s="281"/>
      <c r="BT294" s="281"/>
      <c r="BU294" s="281"/>
      <c r="BV294" s="281"/>
      <c r="BW294" s="281"/>
      <c r="BX294" s="281"/>
      <c r="BY294" s="281"/>
      <c r="BZ294" s="281"/>
    </row>
    <row r="295" spans="1:78" x14ac:dyDescent="0.2">
      <c r="A295" s="398"/>
      <c r="B295" s="728"/>
      <c r="C295" s="399"/>
      <c r="D295" s="391"/>
      <c r="E295" s="400"/>
      <c r="F295" s="400"/>
      <c r="G295" s="400"/>
      <c r="H295" s="431"/>
      <c r="I295" s="394"/>
      <c r="J295" s="432"/>
      <c r="K295" s="431"/>
      <c r="L295" s="431"/>
      <c r="M295" s="431"/>
      <c r="N295" s="433"/>
      <c r="O295" s="745"/>
      <c r="P295" s="745"/>
      <c r="Q295" s="745"/>
      <c r="R295" s="745"/>
      <c r="S295" s="751"/>
      <c r="T295" s="746"/>
      <c r="U295" s="435"/>
      <c r="V295" s="435"/>
      <c r="W295" s="434"/>
      <c r="X295" s="745"/>
      <c r="Y295" s="745"/>
      <c r="Z295" s="745"/>
      <c r="AA295" s="745"/>
      <c r="AB295" s="391"/>
      <c r="AC295" s="401"/>
      <c r="AD295" s="400"/>
      <c r="AE295" s="400"/>
      <c r="AF295" s="400"/>
      <c r="AG295" s="818"/>
      <c r="AH295" s="405"/>
      <c r="AI295" s="405"/>
      <c r="AJ295" s="405"/>
      <c r="AK295" s="405"/>
      <c r="AL295" s="405"/>
      <c r="AM295" s="405"/>
      <c r="AN295" s="405"/>
      <c r="AO295" s="405"/>
      <c r="AP295" s="258"/>
      <c r="AQ295" s="258"/>
      <c r="AR295" s="281"/>
      <c r="AS295" s="281"/>
      <c r="AT295" s="281"/>
      <c r="AU295" s="281"/>
      <c r="AV295" s="281"/>
      <c r="AW295" s="281"/>
      <c r="AX295" s="281"/>
      <c r="AY295" s="281"/>
      <c r="AZ295" s="281"/>
      <c r="BA295" s="281"/>
      <c r="BB295" s="281"/>
      <c r="BC295" s="281"/>
      <c r="BD295" s="281"/>
      <c r="BE295" s="281"/>
      <c r="BF295" s="281"/>
      <c r="BG295" s="281"/>
      <c r="BH295" s="281"/>
      <c r="BI295" s="281"/>
      <c r="BJ295" s="281"/>
      <c r="BK295" s="281"/>
      <c r="BL295" s="281"/>
      <c r="BM295" s="281"/>
      <c r="BN295" s="281"/>
      <c r="BO295" s="281"/>
      <c r="BP295" s="281"/>
      <c r="BQ295" s="281"/>
      <c r="BR295" s="281"/>
      <c r="BS295" s="281"/>
      <c r="BT295" s="281"/>
      <c r="BU295" s="281"/>
      <c r="BV295" s="281"/>
      <c r="BW295" s="281"/>
      <c r="BX295" s="281"/>
      <c r="BY295" s="281"/>
      <c r="BZ295" s="281"/>
    </row>
    <row r="296" spans="1:78" x14ac:dyDescent="0.2">
      <c r="A296" s="398"/>
      <c r="B296" s="728" t="str">
        <f>IF(Stammblatt!$L$4=1,'Kalkulation Herstellungskosten'!AP296,'Kalkulation Herstellungskosten'!AQ296)</f>
        <v>Beleuchtungstechnik: *)</v>
      </c>
      <c r="C296" s="399"/>
      <c r="D296" s="391"/>
      <c r="E296" s="400"/>
      <c r="F296" s="400"/>
      <c r="G296" s="400"/>
      <c r="H296" s="431"/>
      <c r="I296" s="394"/>
      <c r="J296" s="432"/>
      <c r="K296" s="431"/>
      <c r="L296" s="431"/>
      <c r="M296" s="431"/>
      <c r="N296" s="433"/>
      <c r="O296" s="745"/>
      <c r="P296" s="745"/>
      <c r="Q296" s="745"/>
      <c r="R296" s="745"/>
      <c r="S296" s="751"/>
      <c r="T296" s="746"/>
      <c r="U296" s="435"/>
      <c r="V296" s="435"/>
      <c r="W296" s="434"/>
      <c r="X296" s="745"/>
      <c r="Y296" s="745"/>
      <c r="Z296" s="745"/>
      <c r="AA296" s="745"/>
      <c r="AB296" s="391"/>
      <c r="AC296" s="401"/>
      <c r="AD296" s="400"/>
      <c r="AE296" s="400"/>
      <c r="AF296" s="400"/>
      <c r="AG296" s="818"/>
      <c r="AH296" s="405"/>
      <c r="AI296" s="405"/>
      <c r="AJ296" s="405"/>
      <c r="AK296" s="405"/>
      <c r="AL296" s="405"/>
      <c r="AM296" s="405"/>
      <c r="AN296" s="405"/>
      <c r="AO296" s="405"/>
      <c r="AP296" s="258" t="s">
        <v>55</v>
      </c>
      <c r="AQ296" s="258" t="s">
        <v>377</v>
      </c>
      <c r="AR296" s="281"/>
      <c r="AS296" s="281"/>
      <c r="AT296" s="281"/>
      <c r="AU296" s="281"/>
      <c r="AV296" s="281"/>
      <c r="AW296" s="281"/>
      <c r="AX296" s="281"/>
      <c r="AY296" s="281"/>
      <c r="AZ296" s="281"/>
      <c r="BA296" s="281"/>
      <c r="BB296" s="281"/>
      <c r="BC296" s="281"/>
      <c r="BD296" s="281"/>
      <c r="BE296" s="281"/>
      <c r="BF296" s="281"/>
      <c r="BG296" s="281"/>
      <c r="BH296" s="281"/>
      <c r="BI296" s="281"/>
      <c r="BJ296" s="281"/>
      <c r="BK296" s="281"/>
      <c r="BL296" s="281"/>
      <c r="BM296" s="281"/>
      <c r="BN296" s="281"/>
      <c r="BO296" s="281"/>
      <c r="BP296" s="281"/>
      <c r="BQ296" s="281"/>
      <c r="BR296" s="281"/>
      <c r="BS296" s="281"/>
      <c r="BT296" s="281"/>
      <c r="BU296" s="281"/>
      <c r="BV296" s="281"/>
      <c r="BW296" s="281"/>
      <c r="BX296" s="281"/>
      <c r="BY296" s="281"/>
      <c r="BZ296" s="281"/>
    </row>
    <row r="297" spans="1:78" x14ac:dyDescent="0.2">
      <c r="A297" s="422">
        <v>82</v>
      </c>
      <c r="B297" s="716" t="str">
        <f>IF(Stammblatt!$L$4=1,'Kalkulation Herstellungskosten'!AP297,'Kalkulation Herstellungskosten'!AQ297)</f>
        <v>Lampen, Kabel, Dolly</v>
      </c>
      <c r="C297" s="33">
        <v>0</v>
      </c>
      <c r="D297" s="425"/>
      <c r="E297" s="37">
        <v>0</v>
      </c>
      <c r="F297" s="426"/>
      <c r="G297" s="426">
        <f>C297*E297</f>
        <v>0</v>
      </c>
      <c r="H297" s="427"/>
      <c r="I297" s="428"/>
      <c r="J297" s="429"/>
      <c r="K297" s="427"/>
      <c r="L297" s="427"/>
      <c r="M297" s="427"/>
      <c r="N297" s="430"/>
      <c r="O297" s="749"/>
      <c r="P297" s="742"/>
      <c r="Q297" s="743"/>
      <c r="R297" s="741"/>
      <c r="S297" s="751"/>
      <c r="T297" s="758"/>
      <c r="U297" s="741"/>
      <c r="V297" s="808">
        <f>SUM(T297:U297)</f>
        <v>0</v>
      </c>
      <c r="W297" s="562">
        <f>G297-V297</f>
        <v>0</v>
      </c>
      <c r="X297" s="749"/>
      <c r="Y297" s="744"/>
      <c r="Z297" s="743"/>
      <c r="AA297" s="741"/>
      <c r="AB297" s="391"/>
      <c r="AC297" s="401"/>
      <c r="AD297" s="92"/>
      <c r="AE297" s="92"/>
      <c r="AF297" s="92"/>
      <c r="AG297" s="561">
        <f>SUM(G297,AD297:AF297)</f>
        <v>0</v>
      </c>
      <c r="AH297" s="405"/>
      <c r="AI297" s="405"/>
      <c r="AJ297" s="414" t="b">
        <v>0</v>
      </c>
      <c r="AK297" s="414"/>
      <c r="AL297" s="414"/>
      <c r="AM297" s="414"/>
      <c r="AN297" s="414"/>
      <c r="AO297" s="414"/>
      <c r="AP297" s="258" t="s">
        <v>821</v>
      </c>
      <c r="AQ297" s="258" t="s">
        <v>822</v>
      </c>
      <c r="AR297" s="281"/>
      <c r="AS297" s="281"/>
      <c r="AT297" s="281"/>
      <c r="AU297" s="281"/>
      <c r="AV297" s="281"/>
      <c r="AW297" s="281"/>
      <c r="AX297" s="281"/>
      <c r="AY297" s="281"/>
      <c r="AZ297" s="281"/>
      <c r="BA297" s="281"/>
      <c r="BB297" s="281"/>
      <c r="BC297" s="281"/>
      <c r="BD297" s="281"/>
      <c r="BE297" s="281"/>
      <c r="BF297" s="281"/>
      <c r="BG297" s="281"/>
      <c r="BH297" s="281"/>
      <c r="BI297" s="281"/>
      <c r="BJ297" s="281"/>
      <c r="BK297" s="281"/>
      <c r="BL297" s="281"/>
      <c r="BM297" s="281"/>
      <c r="BN297" s="281"/>
      <c r="BO297" s="281"/>
      <c r="BP297" s="281"/>
      <c r="BQ297" s="281"/>
      <c r="BR297" s="281"/>
      <c r="BS297" s="281"/>
      <c r="BT297" s="281"/>
      <c r="BU297" s="281"/>
      <c r="BV297" s="281"/>
      <c r="BW297" s="281"/>
      <c r="BX297" s="281"/>
      <c r="BY297" s="281"/>
      <c r="BZ297" s="281"/>
    </row>
    <row r="298" spans="1:78" x14ac:dyDescent="0.2">
      <c r="A298" s="422">
        <v>83</v>
      </c>
      <c r="B298" s="716" t="str">
        <f>IF(Stammblatt!$L$4=1,'Kalkulation Herstellungskosten'!AP298,'Kalkulation Herstellungskosten'!AQ298)</f>
        <v>Lichtaggregat</v>
      </c>
      <c r="C298" s="33">
        <v>0</v>
      </c>
      <c r="D298" s="425"/>
      <c r="E298" s="37">
        <v>0</v>
      </c>
      <c r="F298" s="426"/>
      <c r="G298" s="426">
        <f>C298*E298</f>
        <v>0</v>
      </c>
      <c r="H298" s="427"/>
      <c r="I298" s="428"/>
      <c r="J298" s="460"/>
      <c r="K298" s="461"/>
      <c r="L298" s="461"/>
      <c r="M298" s="461"/>
      <c r="N298" s="462"/>
      <c r="O298" s="749"/>
      <c r="P298" s="742"/>
      <c r="Q298" s="743"/>
      <c r="R298" s="741"/>
      <c r="S298" s="751"/>
      <c r="T298" s="758"/>
      <c r="U298" s="741"/>
      <c r="V298" s="808">
        <f>SUM(T298:U298)</f>
        <v>0</v>
      </c>
      <c r="W298" s="562">
        <f>G298-V298</f>
        <v>0</v>
      </c>
      <c r="X298" s="749"/>
      <c r="Y298" s="744"/>
      <c r="Z298" s="743"/>
      <c r="AA298" s="741"/>
      <c r="AB298" s="391"/>
      <c r="AC298" s="401"/>
      <c r="AD298" s="92"/>
      <c r="AE298" s="92"/>
      <c r="AF298" s="92"/>
      <c r="AG298" s="561">
        <f>SUM(G298,AD298:AF298)</f>
        <v>0</v>
      </c>
      <c r="AH298" s="405"/>
      <c r="AI298" s="405"/>
      <c r="AJ298" s="405"/>
      <c r="AK298" s="405"/>
      <c r="AL298" s="405"/>
      <c r="AM298" s="405"/>
      <c r="AN298" s="405"/>
      <c r="AO298" s="405"/>
      <c r="AP298" s="258" t="s">
        <v>56</v>
      </c>
      <c r="AQ298" s="258" t="s">
        <v>378</v>
      </c>
      <c r="AR298" s="281"/>
      <c r="AS298" s="281"/>
      <c r="AT298" s="281"/>
      <c r="AU298" s="281"/>
      <c r="AV298" s="281"/>
      <c r="AW298" s="281"/>
      <c r="AX298" s="281"/>
      <c r="AY298" s="281"/>
      <c r="AZ298" s="281"/>
      <c r="BA298" s="281"/>
      <c r="BB298" s="281"/>
      <c r="BC298" s="281"/>
      <c r="BD298" s="281"/>
      <c r="BE298" s="281"/>
      <c r="BF298" s="281"/>
      <c r="BG298" s="281"/>
      <c r="BH298" s="281"/>
      <c r="BI298" s="281"/>
      <c r="BJ298" s="281"/>
      <c r="BK298" s="281"/>
      <c r="BL298" s="281"/>
      <c r="BM298" s="281"/>
      <c r="BN298" s="281"/>
      <c r="BO298" s="281"/>
      <c r="BP298" s="281"/>
      <c r="BQ298" s="281"/>
      <c r="BR298" s="281"/>
      <c r="BS298" s="281"/>
      <c r="BT298" s="281"/>
      <c r="BU298" s="281"/>
      <c r="BV298" s="281"/>
      <c r="BW298" s="281"/>
      <c r="BX298" s="281"/>
      <c r="BY298" s="281"/>
      <c r="BZ298" s="281"/>
    </row>
    <row r="299" spans="1:78" x14ac:dyDescent="0.2">
      <c r="A299" s="398"/>
      <c r="B299" s="728"/>
      <c r="C299" s="399"/>
      <c r="D299" s="391"/>
      <c r="E299" s="400"/>
      <c r="F299" s="400"/>
      <c r="G299" s="400"/>
      <c r="H299" s="431"/>
      <c r="I299" s="394"/>
      <c r="J299" s="432"/>
      <c r="K299" s="431"/>
      <c r="L299" s="431"/>
      <c r="M299" s="431"/>
      <c r="N299" s="433"/>
      <c r="O299" s="745"/>
      <c r="P299" s="745"/>
      <c r="Q299" s="745"/>
      <c r="R299" s="745"/>
      <c r="S299" s="751"/>
      <c r="T299" s="746"/>
      <c r="U299" s="435"/>
      <c r="V299" s="809"/>
      <c r="W299" s="986"/>
      <c r="X299" s="745"/>
      <c r="Y299" s="745"/>
      <c r="Z299" s="745"/>
      <c r="AA299" s="745"/>
      <c r="AB299" s="391"/>
      <c r="AC299" s="401"/>
      <c r="AD299" s="400"/>
      <c r="AE299" s="400"/>
      <c r="AF299" s="400"/>
      <c r="AG299" s="818"/>
      <c r="AH299" s="405"/>
      <c r="AI299" s="405"/>
      <c r="AJ299" s="405"/>
      <c r="AK299" s="405"/>
      <c r="AL299" s="405"/>
      <c r="AM299" s="405"/>
      <c r="AN299" s="405"/>
      <c r="AO299" s="405"/>
      <c r="AP299" s="258"/>
      <c r="AQ299" s="258"/>
      <c r="AR299" s="281"/>
      <c r="AS299" s="281"/>
      <c r="AT299" s="281"/>
      <c r="AU299" s="281"/>
      <c r="AV299" s="281"/>
      <c r="AW299" s="281"/>
      <c r="AX299" s="281"/>
      <c r="AY299" s="281"/>
      <c r="AZ299" s="281"/>
      <c r="BA299" s="281"/>
      <c r="BB299" s="281"/>
      <c r="BC299" s="281"/>
      <c r="BD299" s="281"/>
      <c r="BE299" s="281"/>
      <c r="BF299" s="281"/>
      <c r="BG299" s="281"/>
      <c r="BH299" s="281"/>
      <c r="BI299" s="281"/>
      <c r="BJ299" s="281"/>
      <c r="BK299" s="281"/>
      <c r="BL299" s="281"/>
      <c r="BM299" s="281"/>
      <c r="BN299" s="281"/>
      <c r="BO299" s="281"/>
      <c r="BP299" s="281"/>
      <c r="BQ299" s="281"/>
      <c r="BR299" s="281"/>
      <c r="BS299" s="281"/>
      <c r="BT299" s="281"/>
      <c r="BU299" s="281"/>
      <c r="BV299" s="281"/>
      <c r="BW299" s="281"/>
      <c r="BX299" s="281"/>
      <c r="BY299" s="281"/>
      <c r="BZ299" s="281"/>
    </row>
    <row r="300" spans="1:78" x14ac:dyDescent="0.2">
      <c r="A300" s="422">
        <v>84</v>
      </c>
      <c r="B300" s="716" t="str">
        <f>IF(Stammblatt!$L$4=1,'Kalkulation Herstellungskosten'!AP300,'Kalkulation Herstellungskosten'!AQ300)</f>
        <v>Sonstiges :*)</v>
      </c>
      <c r="C300" s="33">
        <v>0</v>
      </c>
      <c r="D300" s="717" t="str">
        <f>IF(Stammblatt!$L$4=1,"Tage","days")</f>
        <v>Tage</v>
      </c>
      <c r="E300" s="37">
        <v>0</v>
      </c>
      <c r="F300" s="426"/>
      <c r="G300" s="426">
        <f>C300*E300</f>
        <v>0</v>
      </c>
      <c r="H300" s="461"/>
      <c r="I300" s="468"/>
      <c r="J300" s="460"/>
      <c r="K300" s="461"/>
      <c r="L300" s="461"/>
      <c r="M300" s="461"/>
      <c r="N300" s="462"/>
      <c r="O300" s="749"/>
      <c r="P300" s="742"/>
      <c r="Q300" s="743"/>
      <c r="R300" s="741"/>
      <c r="S300" s="751"/>
      <c r="T300" s="758"/>
      <c r="U300" s="741"/>
      <c r="V300" s="808">
        <f>SUM(T300:U300)</f>
        <v>0</v>
      </c>
      <c r="W300" s="562">
        <f>G300-V300</f>
        <v>0</v>
      </c>
      <c r="X300" s="749"/>
      <c r="Y300" s="744"/>
      <c r="Z300" s="743"/>
      <c r="AA300" s="741"/>
      <c r="AB300" s="391"/>
      <c r="AC300" s="401"/>
      <c r="AD300" s="92"/>
      <c r="AE300" s="92"/>
      <c r="AF300" s="92"/>
      <c r="AG300" s="561">
        <f>SUM(G300,AD300:AF300)</f>
        <v>0</v>
      </c>
      <c r="AH300" s="405"/>
      <c r="AI300" s="405"/>
      <c r="AJ300" s="405"/>
      <c r="AK300" s="405"/>
      <c r="AL300" s="405"/>
      <c r="AM300" s="405"/>
      <c r="AN300" s="405"/>
      <c r="AO300" s="405"/>
      <c r="AP300" s="258" t="s">
        <v>57</v>
      </c>
      <c r="AQ300" s="258" t="s">
        <v>380</v>
      </c>
      <c r="AR300" s="281"/>
      <c r="AS300" s="281"/>
      <c r="AT300" s="281"/>
      <c r="AU300" s="281"/>
      <c r="AV300" s="281"/>
      <c r="AW300" s="281"/>
      <c r="AX300" s="281"/>
      <c r="AY300" s="281"/>
      <c r="AZ300" s="281"/>
      <c r="BA300" s="281"/>
      <c r="BB300" s="281"/>
      <c r="BC300" s="281"/>
      <c r="BD300" s="281"/>
      <c r="BE300" s="281"/>
      <c r="BF300" s="281"/>
      <c r="BG300" s="281"/>
      <c r="BH300" s="281"/>
      <c r="BI300" s="281"/>
      <c r="BJ300" s="281"/>
      <c r="BK300" s="281"/>
      <c r="BL300" s="281"/>
      <c r="BM300" s="281"/>
      <c r="BN300" s="281"/>
      <c r="BO300" s="281"/>
      <c r="BP300" s="281"/>
      <c r="BQ300" s="281"/>
      <c r="BR300" s="281"/>
      <c r="BS300" s="281"/>
      <c r="BT300" s="281"/>
      <c r="BU300" s="281"/>
      <c r="BV300" s="281"/>
      <c r="BW300" s="281"/>
      <c r="BX300" s="281"/>
      <c r="BY300" s="281"/>
      <c r="BZ300" s="281"/>
    </row>
    <row r="301" spans="1:78" x14ac:dyDescent="0.2">
      <c r="A301" s="398"/>
      <c r="B301" s="728"/>
      <c r="C301" s="399"/>
      <c r="D301" s="391"/>
      <c r="E301" s="431"/>
      <c r="F301" s="431"/>
      <c r="G301" s="400"/>
      <c r="H301" s="431"/>
      <c r="I301" s="394"/>
      <c r="J301" s="432"/>
      <c r="K301" s="431"/>
      <c r="L301" s="431"/>
      <c r="M301" s="431"/>
      <c r="N301" s="433"/>
      <c r="O301" s="745"/>
      <c r="P301" s="745"/>
      <c r="Q301" s="745"/>
      <c r="R301" s="745"/>
      <c r="S301" s="751"/>
      <c r="T301" s="746"/>
      <c r="U301" s="435"/>
      <c r="V301" s="809"/>
      <c r="W301" s="986"/>
      <c r="X301" s="745"/>
      <c r="Y301" s="745"/>
      <c r="Z301" s="745"/>
      <c r="AA301" s="745"/>
      <c r="AB301" s="391"/>
      <c r="AC301" s="401"/>
      <c r="AD301" s="400"/>
      <c r="AE301" s="400"/>
      <c r="AF301" s="400"/>
      <c r="AG301" s="818"/>
      <c r="AH301" s="405"/>
      <c r="AI301" s="405"/>
      <c r="AJ301" s="405"/>
      <c r="AK301" s="405"/>
      <c r="AL301" s="405"/>
      <c r="AM301" s="405"/>
      <c r="AN301" s="405"/>
      <c r="AO301" s="405"/>
      <c r="AP301" s="258"/>
      <c r="AQ301" s="258"/>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c r="BM301" s="281"/>
      <c r="BN301" s="281"/>
      <c r="BO301" s="281"/>
      <c r="BP301" s="281"/>
      <c r="BQ301" s="281"/>
      <c r="BR301" s="281"/>
      <c r="BS301" s="281"/>
      <c r="BT301" s="281"/>
      <c r="BU301" s="281"/>
      <c r="BV301" s="281"/>
      <c r="BW301" s="281"/>
      <c r="BX301" s="281"/>
      <c r="BY301" s="281"/>
      <c r="BZ301" s="281"/>
    </row>
    <row r="302" spans="1:78" x14ac:dyDescent="0.2">
      <c r="A302" s="398"/>
      <c r="B302" s="728" t="str">
        <f>IF(Stammblatt!$L$4=1,'Kalkulation Herstellungskosten'!AP302,'Kalkulation Herstellungskosten'!AQ302)</f>
        <v>Sonstige technische und produktionstechnische  Geräte:</v>
      </c>
      <c r="C302" s="399"/>
      <c r="D302" s="391"/>
      <c r="E302" s="400"/>
      <c r="F302" s="400"/>
      <c r="G302" s="400"/>
      <c r="H302" s="431"/>
      <c r="I302" s="394"/>
      <c r="J302" s="432"/>
      <c r="K302" s="431"/>
      <c r="L302" s="431"/>
      <c r="M302" s="431"/>
      <c r="N302" s="433"/>
      <c r="O302" s="745"/>
      <c r="P302" s="745"/>
      <c r="Q302" s="745"/>
      <c r="R302" s="745"/>
      <c r="S302" s="751"/>
      <c r="T302" s="746"/>
      <c r="U302" s="435"/>
      <c r="V302" s="809"/>
      <c r="W302" s="986"/>
      <c r="X302" s="745"/>
      <c r="Y302" s="745"/>
      <c r="Z302" s="745"/>
      <c r="AA302" s="745"/>
      <c r="AB302" s="391"/>
      <c r="AC302" s="401"/>
      <c r="AD302" s="400"/>
      <c r="AE302" s="400"/>
      <c r="AF302" s="400"/>
      <c r="AG302" s="818"/>
      <c r="AH302" s="405"/>
      <c r="AI302" s="405"/>
      <c r="AJ302" s="405"/>
      <c r="AK302" s="405"/>
      <c r="AL302" s="405"/>
      <c r="AM302" s="405"/>
      <c r="AN302" s="405"/>
      <c r="AO302" s="405"/>
      <c r="AP302" s="258" t="s">
        <v>58</v>
      </c>
      <c r="AQ302" s="258" t="s">
        <v>409</v>
      </c>
      <c r="AR302" s="281"/>
      <c r="AS302" s="281"/>
      <c r="AT302" s="281"/>
      <c r="AU302" s="281"/>
      <c r="AV302" s="281"/>
      <c r="AW302" s="281"/>
      <c r="AX302" s="281"/>
      <c r="AY302" s="281"/>
      <c r="AZ302" s="281"/>
      <c r="BA302" s="281"/>
      <c r="BB302" s="281"/>
      <c r="BC302" s="281"/>
      <c r="BD302" s="281"/>
      <c r="BE302" s="281"/>
      <c r="BF302" s="281"/>
      <c r="BG302" s="281"/>
      <c r="BH302" s="281"/>
      <c r="BI302" s="281"/>
      <c r="BJ302" s="281"/>
      <c r="BK302" s="281"/>
      <c r="BL302" s="281"/>
      <c r="BM302" s="281"/>
      <c r="BN302" s="281"/>
      <c r="BO302" s="281"/>
      <c r="BP302" s="281"/>
      <c r="BQ302" s="281"/>
      <c r="BR302" s="281"/>
      <c r="BS302" s="281"/>
      <c r="BT302" s="281"/>
      <c r="BU302" s="281"/>
      <c r="BV302" s="281"/>
      <c r="BW302" s="281"/>
      <c r="BX302" s="281"/>
      <c r="BY302" s="281"/>
      <c r="BZ302" s="281"/>
    </row>
    <row r="303" spans="1:78" x14ac:dyDescent="0.2">
      <c r="A303" s="422">
        <v>85</v>
      </c>
      <c r="B303" s="716" t="str">
        <f>IF(Stammblatt!$L$4=1,'Kalkulation Herstellungskosten'!AP303,'Kalkulation Herstellungskosten'!AQ303)</f>
        <v>Schienenwagen</v>
      </c>
      <c r="C303" s="33">
        <v>0</v>
      </c>
      <c r="D303" s="425"/>
      <c r="E303" s="37">
        <v>0</v>
      </c>
      <c r="F303" s="426"/>
      <c r="G303" s="426">
        <f>C303*E303</f>
        <v>0</v>
      </c>
      <c r="H303" s="427"/>
      <c r="I303" s="428"/>
      <c r="J303" s="429"/>
      <c r="K303" s="427"/>
      <c r="L303" s="427"/>
      <c r="M303" s="427"/>
      <c r="N303" s="430"/>
      <c r="O303" s="749"/>
      <c r="P303" s="742"/>
      <c r="Q303" s="743"/>
      <c r="R303" s="741"/>
      <c r="S303" s="751"/>
      <c r="T303" s="758"/>
      <c r="U303" s="741"/>
      <c r="V303" s="808">
        <f t="shared" ref="V303:V308" si="136">SUM(T303:U303)</f>
        <v>0</v>
      </c>
      <c r="W303" s="562">
        <f t="shared" ref="W303:W308" si="137">G303-V303</f>
        <v>0</v>
      </c>
      <c r="X303" s="749"/>
      <c r="Y303" s="744"/>
      <c r="Z303" s="743"/>
      <c r="AA303" s="741"/>
      <c r="AB303" s="391"/>
      <c r="AC303" s="401"/>
      <c r="AD303" s="92"/>
      <c r="AE303" s="92"/>
      <c r="AF303" s="92"/>
      <c r="AG303" s="561">
        <f t="shared" ref="AG303:AG308" si="138">SUM(G303,AD303:AF303)</f>
        <v>0</v>
      </c>
      <c r="AH303" s="405"/>
      <c r="AI303" s="405"/>
      <c r="AJ303" s="405"/>
      <c r="AK303" s="405"/>
      <c r="AL303" s="405"/>
      <c r="AM303" s="405"/>
      <c r="AN303" s="405"/>
      <c r="AO303" s="405"/>
      <c r="AP303" s="258" t="s">
        <v>59</v>
      </c>
      <c r="AQ303" s="258" t="s">
        <v>382</v>
      </c>
      <c r="AR303" s="281"/>
      <c r="AS303" s="281"/>
      <c r="AT303" s="281"/>
      <c r="AU303" s="281"/>
      <c r="AV303" s="281"/>
      <c r="AW303" s="281"/>
      <c r="AX303" s="281"/>
      <c r="AY303" s="281"/>
      <c r="AZ303" s="281"/>
      <c r="BA303" s="281"/>
      <c r="BB303" s="281"/>
      <c r="BC303" s="281"/>
      <c r="BD303" s="281"/>
      <c r="BE303" s="281"/>
      <c r="BF303" s="281"/>
      <c r="BG303" s="281"/>
      <c r="BH303" s="281"/>
      <c r="BI303" s="281"/>
      <c r="BJ303" s="281"/>
      <c r="BK303" s="281"/>
      <c r="BL303" s="281"/>
      <c r="BM303" s="281"/>
      <c r="BN303" s="281"/>
      <c r="BO303" s="281"/>
      <c r="BP303" s="281"/>
      <c r="BQ303" s="281"/>
      <c r="BR303" s="281"/>
      <c r="BS303" s="281"/>
      <c r="BT303" s="281"/>
      <c r="BU303" s="281"/>
      <c r="BV303" s="281"/>
      <c r="BW303" s="281"/>
      <c r="BX303" s="281"/>
      <c r="BY303" s="281"/>
      <c r="BZ303" s="281"/>
    </row>
    <row r="304" spans="1:78" x14ac:dyDescent="0.2">
      <c r="A304" s="422">
        <v>86</v>
      </c>
      <c r="B304" s="716" t="str">
        <f>IF(Stammblatt!$L$4=1,'Kalkulation Herstellungskosten'!AP304,'Kalkulation Herstellungskosten'!AQ304)</f>
        <v>Steiger</v>
      </c>
      <c r="C304" s="33">
        <v>0</v>
      </c>
      <c r="D304" s="425"/>
      <c r="E304" s="37">
        <v>0</v>
      </c>
      <c r="F304" s="426"/>
      <c r="G304" s="426">
        <f>C304*E304</f>
        <v>0</v>
      </c>
      <c r="H304" s="427"/>
      <c r="I304" s="428"/>
      <c r="J304" s="460"/>
      <c r="K304" s="461"/>
      <c r="L304" s="461"/>
      <c r="M304" s="461"/>
      <c r="N304" s="462"/>
      <c r="O304" s="749"/>
      <c r="P304" s="742"/>
      <c r="Q304" s="743"/>
      <c r="R304" s="741"/>
      <c r="S304" s="751"/>
      <c r="T304" s="758"/>
      <c r="U304" s="741"/>
      <c r="V304" s="808">
        <f t="shared" si="136"/>
        <v>0</v>
      </c>
      <c r="W304" s="562">
        <f t="shared" si="137"/>
        <v>0</v>
      </c>
      <c r="X304" s="749"/>
      <c r="Y304" s="744"/>
      <c r="Z304" s="743"/>
      <c r="AA304" s="741"/>
      <c r="AB304" s="391"/>
      <c r="AC304" s="401"/>
      <c r="AD304" s="92"/>
      <c r="AE304" s="92"/>
      <c r="AF304" s="92"/>
      <c r="AG304" s="561">
        <f t="shared" si="138"/>
        <v>0</v>
      </c>
      <c r="AH304" s="405"/>
      <c r="AI304" s="405"/>
      <c r="AJ304" s="405"/>
      <c r="AK304" s="405"/>
      <c r="AL304" s="405"/>
      <c r="AM304" s="405"/>
      <c r="AN304" s="405"/>
      <c r="AO304" s="405"/>
      <c r="AP304" s="258" t="s">
        <v>823</v>
      </c>
      <c r="AQ304" s="258" t="s">
        <v>826</v>
      </c>
      <c r="AR304" s="281"/>
      <c r="AS304" s="281"/>
      <c r="AT304" s="281"/>
      <c r="AU304" s="281"/>
      <c r="AV304" s="281"/>
      <c r="AW304" s="281"/>
      <c r="AX304" s="281"/>
      <c r="AY304" s="281"/>
      <c r="AZ304" s="281"/>
      <c r="BA304" s="281"/>
      <c r="BB304" s="281"/>
      <c r="BC304" s="281"/>
      <c r="BD304" s="281"/>
      <c r="BE304" s="281"/>
      <c r="BF304" s="281"/>
      <c r="BG304" s="281"/>
      <c r="BH304" s="281"/>
      <c r="BI304" s="281"/>
      <c r="BJ304" s="281"/>
      <c r="BK304" s="281"/>
      <c r="BL304" s="281"/>
      <c r="BM304" s="281"/>
      <c r="BN304" s="281"/>
      <c r="BO304" s="281"/>
      <c r="BP304" s="281"/>
      <c r="BQ304" s="281"/>
      <c r="BR304" s="281"/>
      <c r="BS304" s="281"/>
      <c r="BT304" s="281"/>
      <c r="BU304" s="281"/>
      <c r="BV304" s="281"/>
      <c r="BW304" s="281"/>
      <c r="BX304" s="281"/>
      <c r="BY304" s="281"/>
      <c r="BZ304" s="281"/>
    </row>
    <row r="305" spans="1:78" x14ac:dyDescent="0.2">
      <c r="A305" s="422">
        <v>87</v>
      </c>
      <c r="B305" s="716" t="str">
        <f>IF(Stammblatt!$L$4=1,'Kalkulation Herstellungskosten'!AP305,'Kalkulation Herstellungskosten'!AQ305)</f>
        <v>Scherenbühne</v>
      </c>
      <c r="C305" s="33">
        <v>0</v>
      </c>
      <c r="D305" s="425"/>
      <c r="E305" s="37">
        <v>0</v>
      </c>
      <c r="F305" s="426"/>
      <c r="G305" s="426">
        <f>C305*E305</f>
        <v>0</v>
      </c>
      <c r="H305" s="427"/>
      <c r="I305" s="428"/>
      <c r="J305" s="460"/>
      <c r="K305" s="461"/>
      <c r="L305" s="461"/>
      <c r="M305" s="461"/>
      <c r="N305" s="462"/>
      <c r="O305" s="749"/>
      <c r="P305" s="742"/>
      <c r="Q305" s="743"/>
      <c r="R305" s="741"/>
      <c r="S305" s="751"/>
      <c r="T305" s="758"/>
      <c r="U305" s="741"/>
      <c r="V305" s="808">
        <f t="shared" si="136"/>
        <v>0</v>
      </c>
      <c r="W305" s="562">
        <f t="shared" si="137"/>
        <v>0</v>
      </c>
      <c r="X305" s="749"/>
      <c r="Y305" s="744"/>
      <c r="Z305" s="743"/>
      <c r="AA305" s="741"/>
      <c r="AB305" s="391"/>
      <c r="AC305" s="401"/>
      <c r="AD305" s="92"/>
      <c r="AE305" s="92"/>
      <c r="AF305" s="92"/>
      <c r="AG305" s="561">
        <f t="shared" si="138"/>
        <v>0</v>
      </c>
      <c r="AH305" s="405"/>
      <c r="AI305" s="405"/>
      <c r="AJ305" s="405"/>
      <c r="AK305" s="405"/>
      <c r="AL305" s="405"/>
      <c r="AM305" s="405"/>
      <c r="AN305" s="405"/>
      <c r="AO305" s="405"/>
      <c r="AP305" s="258" t="s">
        <v>824</v>
      </c>
      <c r="AQ305" s="258" t="s">
        <v>825</v>
      </c>
      <c r="AR305" s="281"/>
      <c r="AS305" s="281"/>
      <c r="AT305" s="281"/>
      <c r="AU305" s="281"/>
      <c r="AV305" s="281"/>
      <c r="AW305" s="281"/>
      <c r="AX305" s="281"/>
      <c r="AY305" s="281"/>
      <c r="AZ305" s="281"/>
      <c r="BA305" s="281"/>
      <c r="BB305" s="281"/>
      <c r="BC305" s="281"/>
      <c r="BD305" s="281"/>
      <c r="BE305" s="281"/>
      <c r="BF305" s="281"/>
      <c r="BG305" s="281"/>
      <c r="BH305" s="281"/>
      <c r="BI305" s="281"/>
      <c r="BJ305" s="281"/>
      <c r="BK305" s="281"/>
      <c r="BL305" s="281"/>
      <c r="BM305" s="281"/>
      <c r="BN305" s="281"/>
      <c r="BO305" s="281"/>
      <c r="BP305" s="281"/>
      <c r="BQ305" s="281"/>
      <c r="BR305" s="281"/>
      <c r="BS305" s="281"/>
      <c r="BT305" s="281"/>
      <c r="BU305" s="281"/>
      <c r="BV305" s="281"/>
      <c r="BW305" s="281"/>
      <c r="BX305" s="281"/>
      <c r="BY305" s="281"/>
      <c r="BZ305" s="281"/>
    </row>
    <row r="306" spans="1:78" x14ac:dyDescent="0.2">
      <c r="A306" s="422">
        <v>88</v>
      </c>
      <c r="B306" s="716" t="str">
        <f>IF(Stammblatt!$L$4=1,'Kalkulation Herstellungskosten'!AP306,'Kalkulation Herstellungskosten'!AQ306)</f>
        <v>Aufnahmewagen</v>
      </c>
      <c r="C306" s="33">
        <v>0</v>
      </c>
      <c r="D306" s="425"/>
      <c r="E306" s="37">
        <v>0</v>
      </c>
      <c r="F306" s="426"/>
      <c r="G306" s="426">
        <f>C306*E306</f>
        <v>0</v>
      </c>
      <c r="H306" s="427"/>
      <c r="I306" s="428"/>
      <c r="J306" s="460"/>
      <c r="K306" s="461"/>
      <c r="L306" s="461"/>
      <c r="M306" s="461"/>
      <c r="N306" s="462"/>
      <c r="O306" s="749"/>
      <c r="P306" s="742"/>
      <c r="Q306" s="743"/>
      <c r="R306" s="741"/>
      <c r="S306" s="751"/>
      <c r="T306" s="758"/>
      <c r="U306" s="741"/>
      <c r="V306" s="808">
        <f t="shared" si="136"/>
        <v>0</v>
      </c>
      <c r="W306" s="562">
        <f t="shared" si="137"/>
        <v>0</v>
      </c>
      <c r="X306" s="749"/>
      <c r="Y306" s="744"/>
      <c r="Z306" s="743"/>
      <c r="AA306" s="741"/>
      <c r="AB306" s="391"/>
      <c r="AC306" s="401"/>
      <c r="AD306" s="92"/>
      <c r="AE306" s="92"/>
      <c r="AF306" s="92"/>
      <c r="AG306" s="561">
        <f t="shared" si="138"/>
        <v>0</v>
      </c>
      <c r="AH306" s="405"/>
      <c r="AI306" s="405"/>
      <c r="AJ306" s="405"/>
      <c r="AK306" s="405"/>
      <c r="AL306" s="405"/>
      <c r="AM306" s="405"/>
      <c r="AN306" s="405"/>
      <c r="AO306" s="405"/>
      <c r="AP306" s="258" t="s">
        <v>60</v>
      </c>
      <c r="AQ306" s="258" t="s">
        <v>379</v>
      </c>
      <c r="AR306" s="281"/>
      <c r="AS306" s="281"/>
      <c r="AT306" s="281"/>
      <c r="AU306" s="281"/>
      <c r="AV306" s="281"/>
      <c r="AW306" s="281"/>
      <c r="AX306" s="281"/>
      <c r="AY306" s="281"/>
      <c r="AZ306" s="281"/>
      <c r="BA306" s="281"/>
      <c r="BB306" s="281"/>
      <c r="BC306" s="281"/>
      <c r="BD306" s="281"/>
      <c r="BE306" s="281"/>
      <c r="BF306" s="281"/>
      <c r="BG306" s="281"/>
      <c r="BH306" s="281"/>
      <c r="BI306" s="281"/>
      <c r="BJ306" s="281"/>
      <c r="BK306" s="281"/>
      <c r="BL306" s="281"/>
      <c r="BM306" s="281"/>
      <c r="BN306" s="281"/>
      <c r="BO306" s="281"/>
      <c r="BP306" s="281"/>
      <c r="BQ306" s="281"/>
      <c r="BR306" s="281"/>
      <c r="BS306" s="281"/>
      <c r="BT306" s="281"/>
      <c r="BU306" s="281"/>
      <c r="BV306" s="281"/>
      <c r="BW306" s="281"/>
      <c r="BX306" s="281"/>
      <c r="BY306" s="281"/>
      <c r="BZ306" s="281"/>
    </row>
    <row r="307" spans="1:78" x14ac:dyDescent="0.2">
      <c r="A307" s="422">
        <v>89</v>
      </c>
      <c r="B307" s="716" t="str">
        <f>IF(Stammblatt!$L$4=1,'Kalkulation Herstellungskosten'!AP307,'Kalkulation Herstellungskosten'!AQ307)</f>
        <v>Funkgeräte</v>
      </c>
      <c r="C307" s="33">
        <v>0</v>
      </c>
      <c r="D307" s="425"/>
      <c r="E307" s="37">
        <v>0</v>
      </c>
      <c r="F307" s="426"/>
      <c r="G307" s="426">
        <f>C307*E307</f>
        <v>0</v>
      </c>
      <c r="H307" s="431"/>
      <c r="I307" s="394"/>
      <c r="J307" s="432"/>
      <c r="K307" s="431"/>
      <c r="L307" s="431"/>
      <c r="M307" s="431"/>
      <c r="N307" s="433"/>
      <c r="O307" s="749"/>
      <c r="P307" s="742"/>
      <c r="Q307" s="743"/>
      <c r="R307" s="741"/>
      <c r="S307" s="751"/>
      <c r="T307" s="758"/>
      <c r="U307" s="741"/>
      <c r="V307" s="808">
        <f t="shared" si="136"/>
        <v>0</v>
      </c>
      <c r="W307" s="562">
        <f t="shared" si="137"/>
        <v>0</v>
      </c>
      <c r="X307" s="749"/>
      <c r="Y307" s="744"/>
      <c r="Z307" s="743"/>
      <c r="AA307" s="741"/>
      <c r="AB307" s="391"/>
      <c r="AC307" s="401"/>
      <c r="AD307" s="92"/>
      <c r="AE307" s="92"/>
      <c r="AF307" s="92"/>
      <c r="AG307" s="561">
        <f t="shared" si="138"/>
        <v>0</v>
      </c>
      <c r="AH307" s="405"/>
      <c r="AI307" s="405"/>
      <c r="AJ307" s="405"/>
      <c r="AK307" s="405"/>
      <c r="AL307" s="405"/>
      <c r="AM307" s="405"/>
      <c r="AN307" s="405"/>
      <c r="AO307" s="405"/>
      <c r="AP307" s="258" t="s">
        <v>827</v>
      </c>
      <c r="AQ307" s="258" t="s">
        <v>828</v>
      </c>
      <c r="AR307" s="281"/>
      <c r="AS307" s="281"/>
      <c r="AT307" s="281"/>
      <c r="AU307" s="281"/>
      <c r="AV307" s="281"/>
      <c r="AW307" s="281"/>
      <c r="AX307" s="281"/>
      <c r="AY307" s="281"/>
      <c r="AZ307" s="281"/>
      <c r="BA307" s="281"/>
      <c r="BB307" s="281"/>
      <c r="BC307" s="281"/>
      <c r="BD307" s="281"/>
      <c r="BE307" s="281"/>
      <c r="BF307" s="281"/>
      <c r="BG307" s="281"/>
      <c r="BH307" s="281"/>
      <c r="BI307" s="281"/>
      <c r="BJ307" s="281"/>
      <c r="BK307" s="281"/>
      <c r="BL307" s="281"/>
      <c r="BM307" s="281"/>
      <c r="BN307" s="281"/>
      <c r="BO307" s="281"/>
      <c r="BP307" s="281"/>
      <c r="BQ307" s="281"/>
      <c r="BR307" s="281"/>
      <c r="BS307" s="281"/>
      <c r="BT307" s="281"/>
      <c r="BU307" s="281"/>
      <c r="BV307" s="281"/>
      <c r="BW307" s="281"/>
      <c r="BX307" s="281"/>
      <c r="BY307" s="281"/>
      <c r="BZ307" s="281"/>
    </row>
    <row r="308" spans="1:78" x14ac:dyDescent="0.2">
      <c r="A308" s="422">
        <v>90</v>
      </c>
      <c r="B308" s="716" t="str">
        <f>IF(Stammblatt!$L$4=1,'Kalkulation Herstellungskosten'!AP308,'Kalkulation Herstellungskosten'!AQ308)</f>
        <v>Sonstiges :*)</v>
      </c>
      <c r="C308" s="424"/>
      <c r="D308" s="425"/>
      <c r="E308" s="426"/>
      <c r="F308" s="426"/>
      <c r="G308" s="37">
        <v>0</v>
      </c>
      <c r="H308" s="427"/>
      <c r="I308" s="428"/>
      <c r="J308" s="460"/>
      <c r="K308" s="461"/>
      <c r="L308" s="461"/>
      <c r="M308" s="461"/>
      <c r="N308" s="462"/>
      <c r="O308" s="749"/>
      <c r="P308" s="742"/>
      <c r="Q308" s="743"/>
      <c r="R308" s="741"/>
      <c r="S308" s="751"/>
      <c r="T308" s="758"/>
      <c r="U308" s="741"/>
      <c r="V308" s="808">
        <f t="shared" si="136"/>
        <v>0</v>
      </c>
      <c r="W308" s="562">
        <f t="shared" si="137"/>
        <v>0</v>
      </c>
      <c r="X308" s="749"/>
      <c r="Y308" s="744"/>
      <c r="Z308" s="743"/>
      <c r="AA308" s="741"/>
      <c r="AB308" s="391"/>
      <c r="AC308" s="401"/>
      <c r="AD308" s="92"/>
      <c r="AE308" s="92"/>
      <c r="AF308" s="92"/>
      <c r="AG308" s="561">
        <f t="shared" si="138"/>
        <v>0</v>
      </c>
      <c r="AH308" s="405"/>
      <c r="AI308" s="405"/>
      <c r="AJ308" s="405"/>
      <c r="AK308" s="405"/>
      <c r="AL308" s="405"/>
      <c r="AM308" s="405"/>
      <c r="AN308" s="405"/>
      <c r="AO308" s="405"/>
      <c r="AP308" s="258" t="s">
        <v>57</v>
      </c>
      <c r="AQ308" s="258" t="s">
        <v>380</v>
      </c>
      <c r="AR308" s="281"/>
      <c r="AS308" s="281"/>
      <c r="AT308" s="281"/>
      <c r="AU308" s="281"/>
      <c r="AV308" s="281"/>
      <c r="AW308" s="281"/>
      <c r="AX308" s="281"/>
      <c r="AY308" s="281"/>
      <c r="AZ308" s="281"/>
      <c r="BA308" s="281"/>
      <c r="BB308" s="281"/>
      <c r="BC308" s="281"/>
      <c r="BD308" s="281"/>
      <c r="BE308" s="281"/>
      <c r="BF308" s="281"/>
      <c r="BG308" s="281"/>
      <c r="BH308" s="281"/>
      <c r="BI308" s="281"/>
      <c r="BJ308" s="281"/>
      <c r="BK308" s="281"/>
      <c r="BL308" s="281"/>
      <c r="BM308" s="281"/>
      <c r="BN308" s="281"/>
      <c r="BO308" s="281"/>
      <c r="BP308" s="281"/>
      <c r="BQ308" s="281"/>
      <c r="BR308" s="281"/>
      <c r="BS308" s="281"/>
      <c r="BT308" s="281"/>
      <c r="BU308" s="281"/>
      <c r="BV308" s="281"/>
      <c r="BW308" s="281"/>
      <c r="BX308" s="281"/>
      <c r="BY308" s="281"/>
      <c r="BZ308" s="281"/>
    </row>
    <row r="309" spans="1:78" x14ac:dyDescent="0.2">
      <c r="A309" s="398"/>
      <c r="B309" s="286"/>
      <c r="C309" s="399"/>
      <c r="D309" s="391"/>
      <c r="E309" s="400"/>
      <c r="F309" s="400"/>
      <c r="G309" s="400"/>
      <c r="H309" s="431"/>
      <c r="I309" s="394"/>
      <c r="J309" s="432"/>
      <c r="K309" s="431"/>
      <c r="L309" s="431"/>
      <c r="M309" s="431"/>
      <c r="N309" s="433"/>
      <c r="O309" s="745"/>
      <c r="P309" s="745"/>
      <c r="Q309" s="745"/>
      <c r="R309" s="745"/>
      <c r="S309" s="751"/>
      <c r="T309" s="746"/>
      <c r="U309" s="435"/>
      <c r="V309" s="435"/>
      <c r="W309" s="434"/>
      <c r="X309" s="745"/>
      <c r="Y309" s="745"/>
      <c r="Z309" s="745"/>
      <c r="AA309" s="745"/>
      <c r="AB309" s="391"/>
      <c r="AC309" s="401"/>
      <c r="AD309" s="400"/>
      <c r="AE309" s="400"/>
      <c r="AF309" s="400"/>
      <c r="AG309" s="281"/>
      <c r="AH309" s="405"/>
      <c r="AI309" s="405"/>
      <c r="AJ309" s="405"/>
      <c r="AK309" s="405"/>
      <c r="AL309" s="405"/>
      <c r="AM309" s="405"/>
      <c r="AN309" s="405"/>
      <c r="AO309" s="405"/>
      <c r="AP309" s="258"/>
      <c r="AQ309" s="258"/>
      <c r="AR309" s="281"/>
      <c r="AS309" s="281"/>
      <c r="AT309" s="281"/>
      <c r="AU309" s="281"/>
      <c r="AV309" s="281"/>
      <c r="AW309" s="281"/>
      <c r="AX309" s="281"/>
      <c r="AY309" s="281"/>
      <c r="AZ309" s="281"/>
      <c r="BA309" s="281"/>
      <c r="BB309" s="281"/>
      <c r="BC309" s="281"/>
      <c r="BD309" s="281"/>
      <c r="BE309" s="281"/>
      <c r="BF309" s="281"/>
      <c r="BG309" s="281"/>
      <c r="BH309" s="281"/>
      <c r="BI309" s="281"/>
      <c r="BJ309" s="281"/>
      <c r="BK309" s="281"/>
      <c r="BL309" s="281"/>
      <c r="BM309" s="281"/>
      <c r="BN309" s="281"/>
      <c r="BO309" s="281"/>
      <c r="BP309" s="281"/>
      <c r="BQ309" s="281"/>
      <c r="BR309" s="281"/>
      <c r="BS309" s="281"/>
      <c r="BT309" s="281"/>
      <c r="BU309" s="281"/>
      <c r="BV309" s="281"/>
      <c r="BW309" s="281"/>
      <c r="BX309" s="281"/>
      <c r="BY309" s="281"/>
      <c r="BZ309" s="281"/>
    </row>
    <row r="310" spans="1:78" x14ac:dyDescent="0.2">
      <c r="A310" s="112"/>
      <c r="B310" s="65" t="str">
        <f>IF(Stammblatt!$L$4=1,'Kalkulation Herstellungskosten'!AP310,'Kalkulation Herstellungskosten'!AQ310)</f>
        <v>Σ-Bild- und Tonaufnahme</v>
      </c>
      <c r="C310" s="31"/>
      <c r="D310" s="40"/>
      <c r="E310" s="39"/>
      <c r="F310" s="39"/>
      <c r="G310" s="39">
        <f>SUM(G292:G309)</f>
        <v>0</v>
      </c>
      <c r="H310" s="39"/>
      <c r="I310" s="135"/>
      <c r="J310" s="143"/>
      <c r="K310" s="39"/>
      <c r="L310" s="39"/>
      <c r="M310" s="39"/>
      <c r="N310" s="141"/>
      <c r="O310" s="747">
        <f>SUM(O292:O309)</f>
        <v>0</v>
      </c>
      <c r="P310" s="747">
        <f>SUM(P292:P309)</f>
        <v>0</v>
      </c>
      <c r="Q310" s="113">
        <f t="shared" ref="Q310:R310" si="139">SUM(Q292:Q309)</f>
        <v>0</v>
      </c>
      <c r="R310" s="113">
        <f t="shared" si="139"/>
        <v>0</v>
      </c>
      <c r="S310" s="751"/>
      <c r="T310" s="748">
        <f>SUM(T292:T309)</f>
        <v>0</v>
      </c>
      <c r="U310" s="113">
        <f>SUM(U292:U309)</f>
        <v>0</v>
      </c>
      <c r="V310" s="113">
        <f>SUM(V292:V309)</f>
        <v>0</v>
      </c>
      <c r="W310" s="149">
        <f>ZS_4_Bild_Ton-V310</f>
        <v>0</v>
      </c>
      <c r="X310" s="113">
        <f>SUM(X292:X309)</f>
        <v>0</v>
      </c>
      <c r="Y310" s="113">
        <f>SUM(Y292:Y309)</f>
        <v>0</v>
      </c>
      <c r="Z310" s="113">
        <f t="shared" ref="Z310:AA310" si="140">SUM(Z292:Z309)</f>
        <v>0</v>
      </c>
      <c r="AA310" s="113">
        <f t="shared" si="140"/>
        <v>0</v>
      </c>
      <c r="AB310" s="391"/>
      <c r="AC310" s="401"/>
      <c r="AD310" s="104">
        <f>SUM(AD292:AD309)</f>
        <v>0</v>
      </c>
      <c r="AE310" s="104">
        <f>SUM(AE292:AE309)</f>
        <v>0</v>
      </c>
      <c r="AF310" s="104">
        <f>SUM(AF292:AF309)</f>
        <v>0</v>
      </c>
      <c r="AG310" s="39">
        <f>SUM(G310,AD310:AF310)</f>
        <v>0</v>
      </c>
      <c r="AH310" s="405"/>
      <c r="AI310" s="405"/>
      <c r="AJ310" s="405"/>
      <c r="AK310" s="405"/>
      <c r="AL310" s="405"/>
      <c r="AM310" s="405"/>
      <c r="AN310" s="405"/>
      <c r="AO310" s="405"/>
      <c r="AP310" s="258" t="s">
        <v>238</v>
      </c>
      <c r="AQ310" s="258" t="s">
        <v>381</v>
      </c>
      <c r="AR310" s="281"/>
      <c r="AS310" s="281"/>
      <c r="AT310" s="281"/>
      <c r="AU310" s="281"/>
      <c r="AV310" s="281"/>
      <c r="AW310" s="281"/>
      <c r="AX310" s="281"/>
      <c r="AY310" s="281"/>
      <c r="AZ310" s="281"/>
      <c r="BA310" s="281"/>
      <c r="BB310" s="281"/>
      <c r="BC310" s="281"/>
      <c r="BD310" s="281"/>
      <c r="BE310" s="281"/>
      <c r="BF310" s="281"/>
      <c r="BG310" s="281"/>
      <c r="BH310" s="281"/>
      <c r="BI310" s="281"/>
      <c r="BJ310" s="281"/>
      <c r="BK310" s="281"/>
      <c r="BL310" s="281"/>
      <c r="BM310" s="281"/>
      <c r="BN310" s="281"/>
      <c r="BO310" s="281"/>
      <c r="BP310" s="281"/>
      <c r="BQ310" s="281"/>
      <c r="BR310" s="281"/>
      <c r="BS310" s="281"/>
      <c r="BT310" s="281"/>
      <c r="BU310" s="281"/>
      <c r="BV310" s="281"/>
      <c r="BW310" s="281"/>
      <c r="BX310" s="281"/>
      <c r="BY310" s="281"/>
      <c r="BZ310" s="281"/>
    </row>
    <row r="311" spans="1:78" x14ac:dyDescent="0.2">
      <c r="A311" s="398"/>
      <c r="B311" s="286"/>
      <c r="C311" s="399"/>
      <c r="D311" s="391"/>
      <c r="E311" s="400"/>
      <c r="F311" s="400"/>
      <c r="G311" s="400"/>
      <c r="H311" s="431"/>
      <c r="I311" s="394"/>
      <c r="J311" s="432"/>
      <c r="K311" s="431"/>
      <c r="L311" s="431"/>
      <c r="M311" s="431"/>
      <c r="N311" s="433"/>
      <c r="O311" s="745"/>
      <c r="P311" s="745"/>
      <c r="Q311" s="745"/>
      <c r="R311" s="745"/>
      <c r="S311" s="751"/>
      <c r="T311" s="746"/>
      <c r="U311" s="435"/>
      <c r="V311" s="435"/>
      <c r="W311" s="435"/>
      <c r="X311" s="435"/>
      <c r="Y311" s="745"/>
      <c r="Z311" s="745"/>
      <c r="AA311" s="745"/>
      <c r="AB311" s="391"/>
      <c r="AC311" s="401"/>
      <c r="AD311" s="400"/>
      <c r="AE311" s="400"/>
      <c r="AF311" s="400"/>
      <c r="AG311" s="281"/>
      <c r="AH311" s="405"/>
      <c r="AI311" s="405"/>
      <c r="AJ311" s="405"/>
      <c r="AK311" s="405"/>
      <c r="AL311" s="405"/>
      <c r="AM311" s="405"/>
      <c r="AN311" s="405"/>
      <c r="AO311" s="405"/>
      <c r="AP311" s="258"/>
      <c r="AQ311" s="258"/>
      <c r="AR311" s="281"/>
      <c r="AS311" s="281"/>
      <c r="AT311" s="281"/>
      <c r="AU311" s="281"/>
      <c r="AV311" s="281"/>
      <c r="AW311" s="281"/>
      <c r="AX311" s="281"/>
      <c r="AY311" s="281"/>
      <c r="AZ311" s="281"/>
      <c r="BA311" s="281"/>
      <c r="BB311" s="281"/>
      <c r="BC311" s="281"/>
      <c r="BD311" s="281"/>
      <c r="BE311" s="281"/>
      <c r="BF311" s="281"/>
      <c r="BG311" s="281"/>
      <c r="BH311" s="281"/>
      <c r="BI311" s="281"/>
      <c r="BJ311" s="281"/>
      <c r="BK311" s="281"/>
      <c r="BL311" s="281"/>
      <c r="BM311" s="281"/>
      <c r="BN311" s="281"/>
      <c r="BO311" s="281"/>
      <c r="BP311" s="281"/>
      <c r="BQ311" s="281"/>
      <c r="BR311" s="281"/>
      <c r="BS311" s="281"/>
      <c r="BT311" s="281"/>
      <c r="BU311" s="281"/>
      <c r="BV311" s="281"/>
      <c r="BW311" s="281"/>
      <c r="BX311" s="281"/>
      <c r="BY311" s="281"/>
      <c r="BZ311" s="281"/>
    </row>
    <row r="312" spans="1:78" x14ac:dyDescent="0.2">
      <c r="A312" s="398"/>
      <c r="B312" s="286"/>
      <c r="C312" s="399"/>
      <c r="D312" s="391"/>
      <c r="E312" s="400"/>
      <c r="F312" s="400"/>
      <c r="G312" s="400"/>
      <c r="H312" s="431"/>
      <c r="I312" s="394"/>
      <c r="J312" s="432"/>
      <c r="K312" s="431"/>
      <c r="L312" s="431"/>
      <c r="M312" s="431"/>
      <c r="N312" s="433"/>
      <c r="O312" s="745"/>
      <c r="P312" s="745"/>
      <c r="Q312" s="745"/>
      <c r="R312" s="745"/>
      <c r="S312" s="751"/>
      <c r="T312" s="746"/>
      <c r="U312" s="435"/>
      <c r="V312" s="435"/>
      <c r="W312" s="435"/>
      <c r="X312" s="435"/>
      <c r="Y312" s="745"/>
      <c r="Z312" s="745"/>
      <c r="AA312" s="745"/>
      <c r="AB312" s="391"/>
      <c r="AC312" s="401"/>
      <c r="AD312" s="400"/>
      <c r="AE312" s="400"/>
      <c r="AF312" s="400"/>
      <c r="AG312" s="281"/>
      <c r="AH312" s="405"/>
      <c r="AI312" s="405"/>
      <c r="AJ312" s="405"/>
      <c r="AK312" s="405"/>
      <c r="AL312" s="405"/>
      <c r="AM312" s="405"/>
      <c r="AN312" s="405"/>
      <c r="AO312" s="405"/>
      <c r="AP312" s="258"/>
      <c r="AQ312" s="258"/>
      <c r="AR312" s="281"/>
      <c r="AS312" s="281"/>
      <c r="AT312" s="281"/>
      <c r="AU312" s="281"/>
      <c r="AV312" s="281"/>
      <c r="AW312" s="281"/>
      <c r="AX312" s="281"/>
      <c r="AY312" s="281"/>
      <c r="AZ312" s="281"/>
      <c r="BA312" s="281"/>
      <c r="BB312" s="281"/>
      <c r="BC312" s="281"/>
      <c r="BD312" s="281"/>
      <c r="BE312" s="281"/>
      <c r="BF312" s="281"/>
      <c r="BG312" s="281"/>
      <c r="BH312" s="281"/>
      <c r="BI312" s="281"/>
      <c r="BJ312" s="281"/>
      <c r="BK312" s="281"/>
      <c r="BL312" s="281"/>
      <c r="BM312" s="281"/>
      <c r="BN312" s="281"/>
      <c r="BO312" s="281"/>
      <c r="BP312" s="281"/>
      <c r="BQ312" s="281"/>
      <c r="BR312" s="281"/>
      <c r="BS312" s="281"/>
      <c r="BT312" s="281"/>
      <c r="BU312" s="281"/>
      <c r="BV312" s="281"/>
      <c r="BW312" s="281"/>
      <c r="BX312" s="281"/>
      <c r="BY312" s="281"/>
      <c r="BZ312" s="281"/>
    </row>
    <row r="313" spans="1:78" s="25" customFormat="1" x14ac:dyDescent="0.2">
      <c r="A313" s="406"/>
      <c r="B313" s="296" t="str">
        <f>IF(Stammblatt!$L$4=1,'Kalkulation Herstellungskosten'!AP313,'Kalkulation Herstellungskosten'!AQ313)</f>
        <v>5. Studiodreh, Originalmotive, Bauten</v>
      </c>
      <c r="C313" s="403"/>
      <c r="D313" s="407"/>
      <c r="E313" s="408"/>
      <c r="F313" s="408"/>
      <c r="G313" s="408"/>
      <c r="H313" s="401"/>
      <c r="I313" s="402"/>
      <c r="J313" s="409"/>
      <c r="K313" s="401"/>
      <c r="L313" s="401"/>
      <c r="M313" s="401"/>
      <c r="N313" s="410"/>
      <c r="O313" s="737"/>
      <c r="P313" s="737"/>
      <c r="Q313" s="737"/>
      <c r="R313" s="737"/>
      <c r="S313" s="751"/>
      <c r="T313" s="740"/>
      <c r="U313" s="441"/>
      <c r="V313" s="441"/>
      <c r="W313" s="441"/>
      <c r="X313" s="441"/>
      <c r="Y313" s="737"/>
      <c r="Z313" s="737"/>
      <c r="AA313" s="737"/>
      <c r="AB313" s="391"/>
      <c r="AC313" s="401"/>
      <c r="AD313" s="408"/>
      <c r="AE313" s="408"/>
      <c r="AF313" s="408"/>
      <c r="AG313" s="411"/>
      <c r="AH313" s="405"/>
      <c r="AI313" s="405"/>
      <c r="AJ313" s="405"/>
      <c r="AK313" s="405"/>
      <c r="AL313" s="405"/>
      <c r="AM313" s="405"/>
      <c r="AN313" s="405"/>
      <c r="AO313" s="405"/>
      <c r="AP313" s="258" t="s">
        <v>818</v>
      </c>
      <c r="AQ313" s="258" t="s">
        <v>819</v>
      </c>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1"/>
      <c r="BR313" s="411"/>
      <c r="BS313" s="411"/>
      <c r="BT313" s="411"/>
      <c r="BU313" s="411"/>
      <c r="BV313" s="411"/>
      <c r="BW313" s="411"/>
      <c r="BX313" s="411"/>
      <c r="BY313" s="411"/>
      <c r="BZ313" s="411"/>
    </row>
    <row r="314" spans="1:78" x14ac:dyDescent="0.2">
      <c r="A314" s="398"/>
      <c r="B314" s="286">
        <f>IF(Stammblatt!$L$4=1,'Kalkulation Herstellungskosten'!AP314,'Kalkulation Herstellungskosten'!AQ314)</f>
        <v>0</v>
      </c>
      <c r="C314" s="436" t="str">
        <f>IF(Stammblatt!$L$4=1,"Wochen","weeks")</f>
        <v>Wochen</v>
      </c>
      <c r="D314" s="436"/>
      <c r="E314" s="400"/>
      <c r="F314" s="400"/>
      <c r="G314" s="400"/>
      <c r="H314" s="431"/>
      <c r="I314" s="394"/>
      <c r="J314" s="432"/>
      <c r="K314" s="431"/>
      <c r="L314" s="431"/>
      <c r="M314" s="431"/>
      <c r="N314" s="433"/>
      <c r="O314" s="745"/>
      <c r="P314" s="745"/>
      <c r="Q314" s="745"/>
      <c r="R314" s="745"/>
      <c r="S314" s="751"/>
      <c r="T314" s="746"/>
      <c r="U314" s="435"/>
      <c r="V314" s="435"/>
      <c r="W314" s="435"/>
      <c r="X314" s="435"/>
      <c r="Y314" s="745"/>
      <c r="Z314" s="745"/>
      <c r="AA314" s="745"/>
      <c r="AB314" s="391"/>
      <c r="AC314" s="401"/>
      <c r="AD314" s="400"/>
      <c r="AE314" s="400"/>
      <c r="AF314" s="400"/>
      <c r="AG314" s="281"/>
      <c r="AH314" s="405"/>
      <c r="AI314" s="405"/>
      <c r="AJ314" s="405"/>
      <c r="AK314" s="405"/>
      <c r="AL314" s="405"/>
      <c r="AM314" s="405"/>
      <c r="AN314" s="405"/>
      <c r="AO314" s="405"/>
      <c r="AP314" s="258"/>
      <c r="AQ314" s="258"/>
      <c r="AR314" s="281"/>
      <c r="AS314" s="281"/>
      <c r="AT314" s="281"/>
      <c r="AU314" s="281"/>
      <c r="AV314" s="281"/>
      <c r="AW314" s="281"/>
      <c r="AX314" s="281"/>
      <c r="AY314" s="281"/>
      <c r="AZ314" s="281"/>
      <c r="BA314" s="281"/>
      <c r="BB314" s="281"/>
      <c r="BC314" s="281"/>
      <c r="BD314" s="281"/>
      <c r="BE314" s="281"/>
      <c r="BF314" s="281"/>
      <c r="BG314" s="281"/>
      <c r="BH314" s="281"/>
      <c r="BI314" s="281"/>
      <c r="BJ314" s="281"/>
      <c r="BK314" s="281"/>
      <c r="BL314" s="281"/>
      <c r="BM314" s="281"/>
      <c r="BN314" s="281"/>
      <c r="BO314" s="281"/>
      <c r="BP314" s="281"/>
      <c r="BQ314" s="281"/>
      <c r="BR314" s="281"/>
      <c r="BS314" s="281"/>
      <c r="BT314" s="281"/>
      <c r="BU314" s="281"/>
      <c r="BV314" s="281"/>
      <c r="BW314" s="281"/>
      <c r="BX314" s="281"/>
      <c r="BY314" s="281"/>
      <c r="BZ314" s="281"/>
    </row>
    <row r="315" spans="1:78" x14ac:dyDescent="0.2">
      <c r="A315" s="422">
        <v>91</v>
      </c>
      <c r="B315" s="716" t="str">
        <f>IF(Stammblatt!$L$4=1,'Kalkulation Herstellungskosten'!AP315,'Kalkulation Herstellungskosten'!AQ315)</f>
        <v>Studio (inkl. Vor- und Rückbau)</v>
      </c>
      <c r="C315" s="33">
        <v>0</v>
      </c>
      <c r="D315" s="425"/>
      <c r="E315" s="37">
        <v>0</v>
      </c>
      <c r="F315" s="426"/>
      <c r="G315" s="426">
        <f t="shared" ref="G315:G321" si="141">C315*E315</f>
        <v>0</v>
      </c>
      <c r="H315" s="427"/>
      <c r="I315" s="428"/>
      <c r="J315" s="429"/>
      <c r="K315" s="427"/>
      <c r="L315" s="427"/>
      <c r="M315" s="427"/>
      <c r="N315" s="430"/>
      <c r="O315" s="749"/>
      <c r="P315" s="742"/>
      <c r="Q315" s="743"/>
      <c r="R315" s="741"/>
      <c r="S315" s="751"/>
      <c r="T315" s="758"/>
      <c r="U315" s="741"/>
      <c r="V315" s="808">
        <f t="shared" ref="V315:V321" si="142">SUM(T315:U315)</f>
        <v>0</v>
      </c>
      <c r="W315" s="562">
        <f t="shared" ref="W315:W321" si="143">G315-V315</f>
        <v>0</v>
      </c>
      <c r="X315" s="749"/>
      <c r="Y315" s="744"/>
      <c r="Z315" s="743"/>
      <c r="AA315" s="741"/>
      <c r="AB315" s="391"/>
      <c r="AC315" s="401"/>
      <c r="AD315" s="92"/>
      <c r="AE315" s="92"/>
      <c r="AF315" s="92"/>
      <c r="AG315" s="561">
        <f t="shared" ref="AG315:AG321" si="144">SUM(G315,AD315:AF315)</f>
        <v>0</v>
      </c>
      <c r="AH315" s="405"/>
      <c r="AI315" s="405"/>
      <c r="AJ315" s="405"/>
      <c r="AK315" s="405"/>
      <c r="AL315" s="405"/>
      <c r="AM315" s="405"/>
      <c r="AN315" s="405"/>
      <c r="AO315" s="405"/>
      <c r="AP315" s="258" t="s">
        <v>812</v>
      </c>
      <c r="AQ315" s="258" t="s">
        <v>811</v>
      </c>
      <c r="AR315" s="281"/>
      <c r="AS315" s="281"/>
      <c r="AT315" s="281"/>
      <c r="AU315" s="281"/>
      <c r="AV315" s="281"/>
      <c r="AW315" s="281"/>
      <c r="AX315" s="281"/>
      <c r="AY315" s="281"/>
      <c r="AZ315" s="281"/>
      <c r="BA315" s="281"/>
      <c r="BB315" s="281"/>
      <c r="BC315" s="281"/>
      <c r="BD315" s="281"/>
      <c r="BE315" s="281"/>
      <c r="BF315" s="281"/>
      <c r="BG315" s="281"/>
      <c r="BH315" s="281"/>
      <c r="BI315" s="281"/>
      <c r="BJ315" s="281"/>
      <c r="BK315" s="281"/>
      <c r="BL315" s="281"/>
      <c r="BM315" s="281"/>
      <c r="BN315" s="281"/>
      <c r="BO315" s="281"/>
      <c r="BP315" s="281"/>
      <c r="BQ315" s="281"/>
      <c r="BR315" s="281"/>
      <c r="BS315" s="281"/>
      <c r="BT315" s="281"/>
      <c r="BU315" s="281"/>
      <c r="BV315" s="281"/>
      <c r="BW315" s="281"/>
      <c r="BX315" s="281"/>
      <c r="BY315" s="281"/>
      <c r="BZ315" s="281"/>
    </row>
    <row r="316" spans="1:78" x14ac:dyDescent="0.2">
      <c r="A316" s="422">
        <v>92</v>
      </c>
      <c r="B316" s="716" t="str">
        <f>IF(Stammblatt!$L$4=1,'Kalkulation Herstellungskosten'!AP316,'Kalkulation Herstellungskosten'!AQ316)</f>
        <v>Werkstatt</v>
      </c>
      <c r="C316" s="33">
        <v>0</v>
      </c>
      <c r="D316" s="425"/>
      <c r="E316" s="37">
        <v>0</v>
      </c>
      <c r="F316" s="426"/>
      <c r="G316" s="426">
        <f t="shared" si="141"/>
        <v>0</v>
      </c>
      <c r="H316" s="427"/>
      <c r="I316" s="428"/>
      <c r="J316" s="460"/>
      <c r="K316" s="461"/>
      <c r="L316" s="461"/>
      <c r="M316" s="461"/>
      <c r="N316" s="462"/>
      <c r="O316" s="749"/>
      <c r="P316" s="742"/>
      <c r="Q316" s="743"/>
      <c r="R316" s="741"/>
      <c r="S316" s="751"/>
      <c r="T316" s="758"/>
      <c r="U316" s="741"/>
      <c r="V316" s="808">
        <f t="shared" si="142"/>
        <v>0</v>
      </c>
      <c r="W316" s="562">
        <f t="shared" si="143"/>
        <v>0</v>
      </c>
      <c r="X316" s="749"/>
      <c r="Y316" s="744"/>
      <c r="Z316" s="743"/>
      <c r="AA316" s="741"/>
      <c r="AB316" s="391"/>
      <c r="AC316" s="401"/>
      <c r="AD316" s="92"/>
      <c r="AE316" s="92"/>
      <c r="AF316" s="92"/>
      <c r="AG316" s="561">
        <f t="shared" si="144"/>
        <v>0</v>
      </c>
      <c r="AH316" s="405"/>
      <c r="AI316" s="405"/>
      <c r="AJ316" s="405"/>
      <c r="AK316" s="405"/>
      <c r="AL316" s="405"/>
      <c r="AM316" s="405"/>
      <c r="AN316" s="405"/>
      <c r="AO316" s="405"/>
      <c r="AP316" s="258" t="s">
        <v>807</v>
      </c>
      <c r="AQ316" s="258" t="s">
        <v>808</v>
      </c>
      <c r="AR316" s="281"/>
      <c r="AS316" s="281"/>
      <c r="AT316" s="281"/>
      <c r="AU316" s="281"/>
      <c r="AV316" s="281"/>
      <c r="AW316" s="281"/>
      <c r="AX316" s="281"/>
      <c r="AY316" s="281"/>
      <c r="AZ316" s="281"/>
      <c r="BA316" s="281"/>
      <c r="BB316" s="281"/>
      <c r="BC316" s="281"/>
      <c r="BD316" s="281"/>
      <c r="BE316" s="281"/>
      <c r="BF316" s="281"/>
      <c r="BG316" s="281"/>
      <c r="BH316" s="281"/>
      <c r="BI316" s="281"/>
      <c r="BJ316" s="281"/>
      <c r="BK316" s="281"/>
      <c r="BL316" s="281"/>
      <c r="BM316" s="281"/>
      <c r="BN316" s="281"/>
      <c r="BO316" s="281"/>
      <c r="BP316" s="281"/>
      <c r="BQ316" s="281"/>
      <c r="BR316" s="281"/>
      <c r="BS316" s="281"/>
      <c r="BT316" s="281"/>
      <c r="BU316" s="281"/>
      <c r="BV316" s="281"/>
      <c r="BW316" s="281"/>
      <c r="BX316" s="281"/>
      <c r="BY316" s="281"/>
      <c r="BZ316" s="281"/>
    </row>
    <row r="317" spans="1:78" x14ac:dyDescent="0.2">
      <c r="A317" s="422">
        <v>93</v>
      </c>
      <c r="B317" s="716" t="str">
        <f>IF(Stammblatt!$L$4=1,'Kalkulation Herstellungskosten'!AP317,'Kalkulation Herstellungskosten'!AQ317)</f>
        <v>Requisitenlager</v>
      </c>
      <c r="C317" s="33">
        <v>0</v>
      </c>
      <c r="D317" s="425"/>
      <c r="E317" s="37">
        <v>0</v>
      </c>
      <c r="F317" s="426"/>
      <c r="G317" s="426">
        <f t="shared" si="141"/>
        <v>0</v>
      </c>
      <c r="H317" s="427"/>
      <c r="I317" s="428"/>
      <c r="J317" s="460"/>
      <c r="K317" s="461"/>
      <c r="L317" s="461"/>
      <c r="M317" s="461"/>
      <c r="N317" s="462"/>
      <c r="O317" s="749"/>
      <c r="P317" s="742"/>
      <c r="Q317" s="743"/>
      <c r="R317" s="741"/>
      <c r="S317" s="751"/>
      <c r="T317" s="758"/>
      <c r="U317" s="741"/>
      <c r="V317" s="808">
        <f t="shared" si="142"/>
        <v>0</v>
      </c>
      <c r="W317" s="562">
        <f t="shared" si="143"/>
        <v>0</v>
      </c>
      <c r="X317" s="749"/>
      <c r="Y317" s="744"/>
      <c r="Z317" s="743"/>
      <c r="AA317" s="741"/>
      <c r="AB317" s="391"/>
      <c r="AC317" s="401"/>
      <c r="AD317" s="92"/>
      <c r="AE317" s="92"/>
      <c r="AF317" s="92"/>
      <c r="AG317" s="561">
        <f t="shared" si="144"/>
        <v>0</v>
      </c>
      <c r="AH317" s="405"/>
      <c r="AI317" s="405"/>
      <c r="AJ317" s="405"/>
      <c r="AK317" s="405"/>
      <c r="AL317" s="405"/>
      <c r="AM317" s="405"/>
      <c r="AN317" s="405"/>
      <c r="AO317" s="405"/>
      <c r="AP317" s="258" t="s">
        <v>809</v>
      </c>
      <c r="AQ317" s="258" t="s">
        <v>813</v>
      </c>
      <c r="AR317" s="281"/>
      <c r="AS317" s="281"/>
      <c r="AT317" s="281"/>
      <c r="AU317" s="281"/>
      <c r="AV317" s="281"/>
      <c r="AW317" s="281"/>
      <c r="AX317" s="281"/>
      <c r="AY317" s="281"/>
      <c r="AZ317" s="281"/>
      <c r="BA317" s="281"/>
      <c r="BB317" s="281"/>
      <c r="BC317" s="281"/>
      <c r="BD317" s="281"/>
      <c r="BE317" s="281"/>
      <c r="BF317" s="281"/>
      <c r="BG317" s="281"/>
      <c r="BH317" s="281"/>
      <c r="BI317" s="281"/>
      <c r="BJ317" s="281"/>
      <c r="BK317" s="281"/>
      <c r="BL317" s="281"/>
      <c r="BM317" s="281"/>
      <c r="BN317" s="281"/>
      <c r="BO317" s="281"/>
      <c r="BP317" s="281"/>
      <c r="BQ317" s="281"/>
      <c r="BR317" s="281"/>
      <c r="BS317" s="281"/>
      <c r="BT317" s="281"/>
      <c r="BU317" s="281"/>
      <c r="BV317" s="281"/>
      <c r="BW317" s="281"/>
      <c r="BX317" s="281"/>
      <c r="BY317" s="281"/>
      <c r="BZ317" s="281"/>
    </row>
    <row r="318" spans="1:78" x14ac:dyDescent="0.2">
      <c r="A318" s="422">
        <v>94</v>
      </c>
      <c r="B318" s="716" t="str">
        <f>IF(Stammblatt!$L$4=1,'Kalkulation Herstellungskosten'!AP318,'Kalkulation Herstellungskosten'!AQ318)</f>
        <v>Kostümfundus</v>
      </c>
      <c r="C318" s="33">
        <v>0</v>
      </c>
      <c r="D318" s="425"/>
      <c r="E318" s="37">
        <v>0</v>
      </c>
      <c r="F318" s="426"/>
      <c r="G318" s="426">
        <f t="shared" si="141"/>
        <v>0</v>
      </c>
      <c r="H318" s="427"/>
      <c r="I318" s="428"/>
      <c r="J318" s="460"/>
      <c r="K318" s="461"/>
      <c r="L318" s="461"/>
      <c r="M318" s="461"/>
      <c r="N318" s="462"/>
      <c r="O318" s="749"/>
      <c r="P318" s="742"/>
      <c r="Q318" s="743"/>
      <c r="R318" s="741"/>
      <c r="S318" s="751"/>
      <c r="T318" s="758"/>
      <c r="U318" s="741"/>
      <c r="V318" s="808">
        <f t="shared" si="142"/>
        <v>0</v>
      </c>
      <c r="W318" s="562">
        <f t="shared" si="143"/>
        <v>0</v>
      </c>
      <c r="X318" s="749"/>
      <c r="Y318" s="744"/>
      <c r="Z318" s="743"/>
      <c r="AA318" s="741"/>
      <c r="AB318" s="391"/>
      <c r="AC318" s="401"/>
      <c r="AD318" s="92"/>
      <c r="AE318" s="92"/>
      <c r="AF318" s="92"/>
      <c r="AG318" s="561">
        <f t="shared" si="144"/>
        <v>0</v>
      </c>
      <c r="AH318" s="405"/>
      <c r="AI318" s="405"/>
      <c r="AJ318" s="405"/>
      <c r="AK318" s="405"/>
      <c r="AL318" s="405"/>
      <c r="AM318" s="405"/>
      <c r="AN318" s="405"/>
      <c r="AO318" s="405"/>
      <c r="AP318" s="258" t="s">
        <v>810</v>
      </c>
      <c r="AQ318" s="258" t="s">
        <v>814</v>
      </c>
      <c r="AR318" s="281"/>
      <c r="AS318" s="281"/>
      <c r="AT318" s="281"/>
      <c r="AU318" s="281"/>
      <c r="AV318" s="281"/>
      <c r="AW318" s="281"/>
      <c r="AX318" s="281"/>
      <c r="AY318" s="281"/>
      <c r="AZ318" s="281"/>
      <c r="BA318" s="281"/>
      <c r="BB318" s="281"/>
      <c r="BC318" s="281"/>
      <c r="BD318" s="281"/>
      <c r="BE318" s="281"/>
      <c r="BF318" s="281"/>
      <c r="BG318" s="281"/>
      <c r="BH318" s="281"/>
      <c r="BI318" s="281"/>
      <c r="BJ318" s="281"/>
      <c r="BK318" s="281"/>
      <c r="BL318" s="281"/>
      <c r="BM318" s="281"/>
      <c r="BN318" s="281"/>
      <c r="BO318" s="281"/>
      <c r="BP318" s="281"/>
      <c r="BQ318" s="281"/>
      <c r="BR318" s="281"/>
      <c r="BS318" s="281"/>
      <c r="BT318" s="281"/>
      <c r="BU318" s="281"/>
      <c r="BV318" s="281"/>
      <c r="BW318" s="281"/>
      <c r="BX318" s="281"/>
      <c r="BY318" s="281"/>
      <c r="BZ318" s="281"/>
    </row>
    <row r="319" spans="1:78" x14ac:dyDescent="0.2">
      <c r="A319" s="422">
        <v>95</v>
      </c>
      <c r="B319" s="716" t="str">
        <f>IF(Stammblatt!$L$4=1,'Kalkulation Herstellungskosten'!AP319,'Kalkulation Herstellungskosten'!AQ319)</f>
        <v>Casting- und Probenräume</v>
      </c>
      <c r="C319" s="33">
        <v>0</v>
      </c>
      <c r="D319" s="425"/>
      <c r="E319" s="37">
        <v>0</v>
      </c>
      <c r="F319" s="426"/>
      <c r="G319" s="426">
        <f t="shared" si="141"/>
        <v>0</v>
      </c>
      <c r="H319" s="427"/>
      <c r="I319" s="428"/>
      <c r="J319" s="460"/>
      <c r="K319" s="461"/>
      <c r="L319" s="461"/>
      <c r="M319" s="461"/>
      <c r="N319" s="462"/>
      <c r="O319" s="749"/>
      <c r="P319" s="742"/>
      <c r="Q319" s="743"/>
      <c r="R319" s="741"/>
      <c r="S319" s="751"/>
      <c r="T319" s="758"/>
      <c r="U319" s="741"/>
      <c r="V319" s="808">
        <f t="shared" si="142"/>
        <v>0</v>
      </c>
      <c r="W319" s="562">
        <f t="shared" si="143"/>
        <v>0</v>
      </c>
      <c r="X319" s="749"/>
      <c r="Y319" s="744"/>
      <c r="Z319" s="743"/>
      <c r="AA319" s="741"/>
      <c r="AB319" s="391"/>
      <c r="AC319" s="401"/>
      <c r="AD319" s="92"/>
      <c r="AE319" s="92"/>
      <c r="AF319" s="92"/>
      <c r="AG319" s="561">
        <f t="shared" si="144"/>
        <v>0</v>
      </c>
      <c r="AH319" s="405"/>
      <c r="AI319" s="405"/>
      <c r="AJ319" s="405"/>
      <c r="AK319" s="405"/>
      <c r="AL319" s="405"/>
      <c r="AM319" s="405"/>
      <c r="AN319" s="405"/>
      <c r="AO319" s="405"/>
      <c r="AP319" s="258" t="s">
        <v>815</v>
      </c>
      <c r="AQ319" s="258" t="s">
        <v>816</v>
      </c>
      <c r="AR319" s="281"/>
      <c r="AS319" s="281"/>
      <c r="AT319" s="281"/>
      <c r="AU319" s="281"/>
      <c r="AV319" s="281"/>
      <c r="AW319" s="281"/>
      <c r="AX319" s="281"/>
      <c r="AY319" s="281"/>
      <c r="AZ319" s="281"/>
      <c r="BA319" s="281"/>
      <c r="BB319" s="281"/>
      <c r="BC319" s="281"/>
      <c r="BD319" s="281"/>
      <c r="BE319" s="281"/>
      <c r="BF319" s="281"/>
      <c r="BG319" s="281"/>
      <c r="BH319" s="281"/>
      <c r="BI319" s="281"/>
      <c r="BJ319" s="281"/>
      <c r="BK319" s="281"/>
      <c r="BL319" s="281"/>
      <c r="BM319" s="281"/>
      <c r="BN319" s="281"/>
      <c r="BO319" s="281"/>
      <c r="BP319" s="281"/>
      <c r="BQ319" s="281"/>
      <c r="BR319" s="281"/>
      <c r="BS319" s="281"/>
      <c r="BT319" s="281"/>
      <c r="BU319" s="281"/>
      <c r="BV319" s="281"/>
      <c r="BW319" s="281"/>
      <c r="BX319" s="281"/>
      <c r="BY319" s="281"/>
      <c r="BZ319" s="281"/>
    </row>
    <row r="320" spans="1:78" x14ac:dyDescent="0.2">
      <c r="A320" s="422">
        <v>96</v>
      </c>
      <c r="B320" s="716" t="str">
        <f>IF(Stammblatt!$L$4=1,'Kalkulation Herstellungskosten'!AP320,'Kalkulation Herstellungskosten'!AQ320)</f>
        <v>Externe Produktionsbüros</v>
      </c>
      <c r="C320" s="33">
        <v>0</v>
      </c>
      <c r="D320" s="425"/>
      <c r="E320" s="37">
        <v>0</v>
      </c>
      <c r="F320" s="426"/>
      <c r="G320" s="426">
        <f t="shared" si="141"/>
        <v>0</v>
      </c>
      <c r="H320" s="427"/>
      <c r="I320" s="428"/>
      <c r="J320" s="460"/>
      <c r="K320" s="461"/>
      <c r="L320" s="461"/>
      <c r="M320" s="461"/>
      <c r="N320" s="462"/>
      <c r="O320" s="749"/>
      <c r="P320" s="742"/>
      <c r="Q320" s="743"/>
      <c r="R320" s="741"/>
      <c r="S320" s="751"/>
      <c r="T320" s="758"/>
      <c r="U320" s="741"/>
      <c r="V320" s="808">
        <f t="shared" si="142"/>
        <v>0</v>
      </c>
      <c r="W320" s="562">
        <f t="shared" si="143"/>
        <v>0</v>
      </c>
      <c r="X320" s="749"/>
      <c r="Y320" s="744"/>
      <c r="Z320" s="743"/>
      <c r="AA320" s="741"/>
      <c r="AB320" s="391"/>
      <c r="AC320" s="401"/>
      <c r="AD320" s="92"/>
      <c r="AE320" s="92"/>
      <c r="AF320" s="92"/>
      <c r="AG320" s="561">
        <f t="shared" si="144"/>
        <v>0</v>
      </c>
      <c r="AH320" s="405"/>
      <c r="AI320" s="405"/>
      <c r="AJ320" s="405"/>
      <c r="AK320" s="405"/>
      <c r="AL320" s="405"/>
      <c r="AM320" s="405"/>
      <c r="AN320" s="405"/>
      <c r="AO320" s="405"/>
      <c r="AP320" s="258" t="s">
        <v>817</v>
      </c>
      <c r="AQ320" s="258" t="s">
        <v>820</v>
      </c>
      <c r="AR320" s="281"/>
      <c r="AS320" s="281"/>
      <c r="AT320" s="281"/>
      <c r="AU320" s="281"/>
      <c r="AV320" s="281"/>
      <c r="AW320" s="281"/>
      <c r="AX320" s="281"/>
      <c r="AY320" s="281"/>
      <c r="AZ320" s="281"/>
      <c r="BA320" s="281"/>
      <c r="BB320" s="281"/>
      <c r="BC320" s="281"/>
      <c r="BD320" s="281"/>
      <c r="BE320" s="281"/>
      <c r="BF320" s="281"/>
      <c r="BG320" s="281"/>
      <c r="BH320" s="281"/>
      <c r="BI320" s="281"/>
      <c r="BJ320" s="281"/>
      <c r="BK320" s="281"/>
      <c r="BL320" s="281"/>
      <c r="BM320" s="281"/>
      <c r="BN320" s="281"/>
      <c r="BO320" s="281"/>
      <c r="BP320" s="281"/>
      <c r="BQ320" s="281"/>
      <c r="BR320" s="281"/>
      <c r="BS320" s="281"/>
      <c r="BT320" s="281"/>
      <c r="BU320" s="281"/>
      <c r="BV320" s="281"/>
      <c r="BW320" s="281"/>
      <c r="BX320" s="281"/>
      <c r="BY320" s="281"/>
      <c r="BZ320" s="281"/>
    </row>
    <row r="321" spans="1:78" x14ac:dyDescent="0.2">
      <c r="A321" s="422">
        <v>97</v>
      </c>
      <c r="B321" s="716" t="str">
        <f>IF(Stammblatt!$L$4=1,'Kalkulation Herstellungskosten'!AP321,'Kalkulation Herstellungskosten'!AQ321)</f>
        <v>Sonstige Räume *)</v>
      </c>
      <c r="C321" s="33">
        <v>0</v>
      </c>
      <c r="D321" s="425"/>
      <c r="E321" s="37">
        <v>0</v>
      </c>
      <c r="F321" s="426"/>
      <c r="G321" s="426">
        <f t="shared" si="141"/>
        <v>0</v>
      </c>
      <c r="H321" s="427"/>
      <c r="I321" s="428"/>
      <c r="J321" s="460"/>
      <c r="K321" s="461"/>
      <c r="L321" s="461"/>
      <c r="M321" s="461"/>
      <c r="N321" s="462"/>
      <c r="O321" s="749"/>
      <c r="P321" s="742"/>
      <c r="Q321" s="743"/>
      <c r="R321" s="741"/>
      <c r="S321" s="751"/>
      <c r="T321" s="758"/>
      <c r="U321" s="741"/>
      <c r="V321" s="808">
        <f t="shared" si="142"/>
        <v>0</v>
      </c>
      <c r="W321" s="562">
        <f t="shared" si="143"/>
        <v>0</v>
      </c>
      <c r="X321" s="749"/>
      <c r="Y321" s="744"/>
      <c r="Z321" s="743"/>
      <c r="AA321" s="741"/>
      <c r="AB321" s="391"/>
      <c r="AC321" s="401"/>
      <c r="AD321" s="92"/>
      <c r="AE321" s="92"/>
      <c r="AF321" s="92"/>
      <c r="AG321" s="561">
        <f t="shared" si="144"/>
        <v>0</v>
      </c>
      <c r="AH321" s="405"/>
      <c r="AI321" s="405"/>
      <c r="AJ321" s="405"/>
      <c r="AK321" s="405"/>
      <c r="AL321" s="405"/>
      <c r="AM321" s="405"/>
      <c r="AN321" s="405"/>
      <c r="AO321" s="405"/>
      <c r="AP321" s="258" t="s">
        <v>61</v>
      </c>
      <c r="AQ321" s="258" t="s">
        <v>387</v>
      </c>
      <c r="AR321" s="281"/>
      <c r="AS321" s="281"/>
      <c r="AT321" s="281"/>
      <c r="AU321" s="281"/>
      <c r="AV321" s="281"/>
      <c r="AW321" s="281"/>
      <c r="AX321" s="281"/>
      <c r="AY321" s="281"/>
      <c r="AZ321" s="281"/>
      <c r="BA321" s="281"/>
      <c r="BB321" s="281"/>
      <c r="BC321" s="281"/>
      <c r="BD321" s="281"/>
      <c r="BE321" s="281"/>
      <c r="BF321" s="281"/>
      <c r="BG321" s="281"/>
      <c r="BH321" s="281"/>
      <c r="BI321" s="281"/>
      <c r="BJ321" s="281"/>
      <c r="BK321" s="281"/>
      <c r="BL321" s="281"/>
      <c r="BM321" s="281"/>
      <c r="BN321" s="281"/>
      <c r="BO321" s="281"/>
      <c r="BP321" s="281"/>
      <c r="BQ321" s="281"/>
      <c r="BR321" s="281"/>
      <c r="BS321" s="281"/>
      <c r="BT321" s="281"/>
      <c r="BU321" s="281"/>
      <c r="BV321" s="281"/>
      <c r="BW321" s="281"/>
      <c r="BX321" s="281"/>
      <c r="BY321" s="281"/>
      <c r="BZ321" s="281"/>
    </row>
    <row r="322" spans="1:78" x14ac:dyDescent="0.2">
      <c r="A322" s="422"/>
      <c r="B322" s="716"/>
      <c r="C322" s="424"/>
      <c r="D322" s="425"/>
      <c r="E322" s="426"/>
      <c r="F322" s="426"/>
      <c r="G322" s="426"/>
      <c r="H322" s="427"/>
      <c r="I322" s="428"/>
      <c r="J322" s="429"/>
      <c r="K322" s="427"/>
      <c r="L322" s="427"/>
      <c r="M322" s="427"/>
      <c r="N322" s="430"/>
      <c r="O322" s="755"/>
      <c r="P322" s="745"/>
      <c r="Q322" s="745"/>
      <c r="R322" s="745"/>
      <c r="S322" s="751"/>
      <c r="T322" s="746"/>
      <c r="U322" s="435"/>
      <c r="V322" s="809"/>
      <c r="W322" s="986"/>
      <c r="X322" s="755"/>
      <c r="Y322" s="755"/>
      <c r="Z322" s="755"/>
      <c r="AA322" s="755"/>
      <c r="AB322" s="391"/>
      <c r="AC322" s="401"/>
      <c r="AD322" s="426"/>
      <c r="AE322" s="426"/>
      <c r="AF322" s="426"/>
      <c r="AG322" s="819"/>
      <c r="AH322" s="405"/>
      <c r="AI322" s="405"/>
      <c r="AJ322" s="405"/>
      <c r="AK322" s="405"/>
      <c r="AL322" s="405"/>
      <c r="AM322" s="405"/>
      <c r="AN322" s="405"/>
      <c r="AO322" s="405"/>
      <c r="AP322" s="258"/>
      <c r="AQ322" s="258"/>
      <c r="AR322" s="281"/>
      <c r="AS322" s="281"/>
      <c r="AT322" s="281"/>
      <c r="AU322" s="281"/>
      <c r="AV322" s="281"/>
      <c r="AW322" s="281"/>
      <c r="AX322" s="281"/>
      <c r="AY322" s="281"/>
      <c r="AZ322" s="281"/>
      <c r="BA322" s="281"/>
      <c r="BB322" s="281"/>
      <c r="BC322" s="281"/>
      <c r="BD322" s="281"/>
      <c r="BE322" s="281"/>
      <c r="BF322" s="281"/>
      <c r="BG322" s="281"/>
      <c r="BH322" s="281"/>
      <c r="BI322" s="281"/>
      <c r="BJ322" s="281"/>
      <c r="BK322" s="281"/>
      <c r="BL322" s="281"/>
      <c r="BM322" s="281"/>
      <c r="BN322" s="281"/>
      <c r="BO322" s="281"/>
      <c r="BP322" s="281"/>
      <c r="BQ322" s="281"/>
      <c r="BR322" s="281"/>
      <c r="BS322" s="281"/>
      <c r="BT322" s="281"/>
      <c r="BU322" s="281"/>
      <c r="BV322" s="281"/>
      <c r="BW322" s="281"/>
      <c r="BX322" s="281"/>
      <c r="BY322" s="281"/>
      <c r="BZ322" s="281"/>
    </row>
    <row r="323" spans="1:78" x14ac:dyDescent="0.2">
      <c r="A323" s="422">
        <v>98</v>
      </c>
      <c r="B323" s="716" t="str">
        <f>IF(Stammblatt!$L$4=1,'Kalkulation Herstellungskosten'!AP323,'Kalkulation Herstellungskosten'!AQ323)</f>
        <v>Baumaterial -  Kauf *)</v>
      </c>
      <c r="C323" s="424"/>
      <c r="D323" s="425"/>
      <c r="E323" s="426"/>
      <c r="F323" s="426"/>
      <c r="G323" s="426">
        <f>Baumaterial</f>
        <v>0</v>
      </c>
      <c r="H323" s="427"/>
      <c r="I323" s="428"/>
      <c r="J323" s="460"/>
      <c r="K323" s="461"/>
      <c r="L323" s="461"/>
      <c r="M323" s="461"/>
      <c r="N323" s="462"/>
      <c r="O323" s="749"/>
      <c r="P323" s="742"/>
      <c r="Q323" s="743"/>
      <c r="R323" s="741"/>
      <c r="S323" s="751"/>
      <c r="T323" s="758"/>
      <c r="U323" s="741"/>
      <c r="V323" s="808">
        <f>SUM(T323:U323)</f>
        <v>0</v>
      </c>
      <c r="W323" s="562">
        <f>G323-V323</f>
        <v>0</v>
      </c>
      <c r="X323" s="749"/>
      <c r="Y323" s="744"/>
      <c r="Z323" s="743"/>
      <c r="AA323" s="741"/>
      <c r="AB323" s="391"/>
      <c r="AC323" s="401"/>
      <c r="AD323" s="92"/>
      <c r="AE323" s="92"/>
      <c r="AF323" s="92"/>
      <c r="AG323" s="561">
        <f>SUM(G323,AD323:AF323)</f>
        <v>0</v>
      </c>
      <c r="AH323" s="405"/>
      <c r="AI323" s="405"/>
      <c r="AJ323" s="405"/>
      <c r="AK323" s="405"/>
      <c r="AL323" s="405"/>
      <c r="AM323" s="405"/>
      <c r="AN323" s="405"/>
      <c r="AO323" s="405"/>
      <c r="AP323" s="258" t="s">
        <v>62</v>
      </c>
      <c r="AQ323" s="258" t="s">
        <v>388</v>
      </c>
      <c r="AR323" s="281"/>
      <c r="AS323" s="281"/>
      <c r="AT323" s="281"/>
      <c r="AU323" s="281"/>
      <c r="AV323" s="281"/>
      <c r="AW323" s="281"/>
      <c r="AX323" s="281"/>
      <c r="AY323" s="281"/>
      <c r="AZ323" s="281"/>
      <c r="BA323" s="281"/>
      <c r="BB323" s="281"/>
      <c r="BC323" s="281"/>
      <c r="BD323" s="281"/>
      <c r="BE323" s="281"/>
      <c r="BF323" s="281"/>
      <c r="BG323" s="281"/>
      <c r="BH323" s="281"/>
      <c r="BI323" s="281"/>
      <c r="BJ323" s="281"/>
      <c r="BK323" s="281"/>
      <c r="BL323" s="281"/>
      <c r="BM323" s="281"/>
      <c r="BN323" s="281"/>
      <c r="BO323" s="281"/>
      <c r="BP323" s="281"/>
      <c r="BQ323" s="281"/>
      <c r="BR323" s="281"/>
      <c r="BS323" s="281"/>
      <c r="BT323" s="281"/>
      <c r="BU323" s="281"/>
      <c r="BV323" s="281"/>
      <c r="BW323" s="281"/>
      <c r="BX323" s="281"/>
      <c r="BY323" s="281"/>
      <c r="BZ323" s="281"/>
    </row>
    <row r="324" spans="1:78" x14ac:dyDescent="0.2">
      <c r="A324" s="422">
        <v>99</v>
      </c>
      <c r="B324" s="716" t="str">
        <f>IF(Stammblatt!$L$4=1,'Kalkulation Herstellungskosten'!AP324,'Kalkulation Herstellungskosten'!AQ324)</f>
        <v>Baumaterial - Miete *)</v>
      </c>
      <c r="C324" s="33">
        <v>0</v>
      </c>
      <c r="D324" s="425"/>
      <c r="E324" s="37">
        <v>0</v>
      </c>
      <c r="F324" s="426"/>
      <c r="G324" s="426">
        <f>C324*E324</f>
        <v>0</v>
      </c>
      <c r="H324" s="427"/>
      <c r="I324" s="428"/>
      <c r="J324" s="460"/>
      <c r="K324" s="461"/>
      <c r="L324" s="461"/>
      <c r="M324" s="461"/>
      <c r="N324" s="462"/>
      <c r="O324" s="749"/>
      <c r="P324" s="742"/>
      <c r="Q324" s="743"/>
      <c r="R324" s="741"/>
      <c r="S324" s="751"/>
      <c r="T324" s="758"/>
      <c r="U324" s="741"/>
      <c r="V324" s="808">
        <f>SUM(T324:U324)</f>
        <v>0</v>
      </c>
      <c r="W324" s="562">
        <f>G324-V324</f>
        <v>0</v>
      </c>
      <c r="X324" s="749"/>
      <c r="Y324" s="744"/>
      <c r="Z324" s="743"/>
      <c r="AA324" s="741"/>
      <c r="AB324" s="391"/>
      <c r="AC324" s="401"/>
      <c r="AD324" s="92"/>
      <c r="AE324" s="92"/>
      <c r="AF324" s="92"/>
      <c r="AG324" s="561">
        <f>SUM(G324,AD324:AF324)</f>
        <v>0</v>
      </c>
      <c r="AH324" s="405"/>
      <c r="AI324" s="405"/>
      <c r="AJ324" s="405"/>
      <c r="AK324" s="405"/>
      <c r="AL324" s="405"/>
      <c r="AM324" s="405"/>
      <c r="AN324" s="405"/>
      <c r="AO324" s="405"/>
      <c r="AP324" s="258" t="s">
        <v>63</v>
      </c>
      <c r="AQ324" s="258" t="s">
        <v>389</v>
      </c>
      <c r="AR324" s="281"/>
      <c r="AS324" s="281"/>
      <c r="AT324" s="281"/>
      <c r="AU324" s="281"/>
      <c r="AV324" s="281"/>
      <c r="AW324" s="281"/>
      <c r="AX324" s="281"/>
      <c r="AY324" s="281"/>
      <c r="AZ324" s="281"/>
      <c r="BA324" s="281"/>
      <c r="BB324" s="281"/>
      <c r="BC324" s="281"/>
      <c r="BD324" s="281"/>
      <c r="BE324" s="281"/>
      <c r="BF324" s="281"/>
      <c r="BG324" s="281"/>
      <c r="BH324" s="281"/>
      <c r="BI324" s="281"/>
      <c r="BJ324" s="281"/>
      <c r="BK324" s="281"/>
      <c r="BL324" s="281"/>
      <c r="BM324" s="281"/>
      <c r="BN324" s="281"/>
      <c r="BO324" s="281"/>
      <c r="BP324" s="281"/>
      <c r="BQ324" s="281"/>
      <c r="BR324" s="281"/>
      <c r="BS324" s="281"/>
      <c r="BT324" s="281"/>
      <c r="BU324" s="281"/>
      <c r="BV324" s="281"/>
      <c r="BW324" s="281"/>
      <c r="BX324" s="281"/>
      <c r="BY324" s="281"/>
      <c r="BZ324" s="281"/>
    </row>
    <row r="325" spans="1:78" x14ac:dyDescent="0.2">
      <c r="A325" s="398"/>
      <c r="B325" s="728"/>
      <c r="C325" s="399"/>
      <c r="D325" s="391"/>
      <c r="E325" s="400"/>
      <c r="F325" s="400"/>
      <c r="G325" s="400"/>
      <c r="H325" s="431"/>
      <c r="I325" s="394"/>
      <c r="J325" s="432"/>
      <c r="K325" s="431"/>
      <c r="L325" s="431"/>
      <c r="M325" s="431"/>
      <c r="N325" s="433"/>
      <c r="O325" s="745"/>
      <c r="P325" s="745"/>
      <c r="Q325" s="745"/>
      <c r="R325" s="745"/>
      <c r="S325" s="751"/>
      <c r="T325" s="746"/>
      <c r="U325" s="435"/>
      <c r="V325" s="809"/>
      <c r="W325" s="986"/>
      <c r="X325" s="745"/>
      <c r="Y325" s="745"/>
      <c r="Z325" s="745"/>
      <c r="AA325" s="745"/>
      <c r="AB325" s="391"/>
      <c r="AC325" s="401"/>
      <c r="AD325" s="400"/>
      <c r="AE325" s="400"/>
      <c r="AF325" s="400"/>
      <c r="AG325" s="818"/>
      <c r="AH325" s="405"/>
      <c r="AI325" s="405"/>
      <c r="AJ325" s="405"/>
      <c r="AK325" s="405"/>
      <c r="AL325" s="405"/>
      <c r="AM325" s="405"/>
      <c r="AN325" s="405"/>
      <c r="AO325" s="405"/>
      <c r="AP325" s="258"/>
      <c r="AQ325" s="258"/>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c r="BM325" s="281"/>
      <c r="BN325" s="281"/>
      <c r="BO325" s="281"/>
      <c r="BP325" s="281"/>
      <c r="BQ325" s="281"/>
      <c r="BR325" s="281"/>
      <c r="BS325" s="281"/>
      <c r="BT325" s="281"/>
      <c r="BU325" s="281"/>
      <c r="BV325" s="281"/>
      <c r="BW325" s="281"/>
      <c r="BX325" s="281"/>
      <c r="BY325" s="281"/>
      <c r="BZ325" s="281"/>
    </row>
    <row r="326" spans="1:78" x14ac:dyDescent="0.2">
      <c r="A326" s="422">
        <v>100</v>
      </c>
      <c r="B326" s="716" t="str">
        <f>IF(Stammblatt!$L$4=1,'Kalkulation Herstellungskosten'!AP326,'Kalkulation Herstellungskosten'!AQ326)</f>
        <v>Motivgebühren (einschließlich Halteverbote, Nebenräume)</v>
      </c>
      <c r="C326" s="424"/>
      <c r="D326" s="425"/>
      <c r="E326" s="426"/>
      <c r="F326" s="426"/>
      <c r="G326" s="426">
        <f>Motive+HV+Nebenräume</f>
        <v>0</v>
      </c>
      <c r="H326" s="427"/>
      <c r="I326" s="428"/>
      <c r="J326" s="429"/>
      <c r="K326" s="427"/>
      <c r="L326" s="427"/>
      <c r="M326" s="427"/>
      <c r="N326" s="430"/>
      <c r="O326" s="749"/>
      <c r="P326" s="742"/>
      <c r="Q326" s="743"/>
      <c r="R326" s="741"/>
      <c r="S326" s="751"/>
      <c r="T326" s="758"/>
      <c r="U326" s="741"/>
      <c r="V326" s="808">
        <f>SUM(T326:U326)</f>
        <v>0</v>
      </c>
      <c r="W326" s="562">
        <f>G326-V326</f>
        <v>0</v>
      </c>
      <c r="X326" s="749"/>
      <c r="Y326" s="744"/>
      <c r="Z326" s="743"/>
      <c r="AA326" s="741"/>
      <c r="AB326" s="391"/>
      <c r="AC326" s="401"/>
      <c r="AD326" s="92"/>
      <c r="AE326" s="92"/>
      <c r="AF326" s="92"/>
      <c r="AG326" s="561">
        <f>SUM(G326,AD326:AF326)</f>
        <v>0</v>
      </c>
      <c r="AH326" s="405"/>
      <c r="AI326" s="405"/>
      <c r="AJ326" s="405"/>
      <c r="AK326" s="405"/>
      <c r="AL326" s="405"/>
      <c r="AM326" s="405"/>
      <c r="AN326" s="405"/>
      <c r="AO326" s="405"/>
      <c r="AP326" s="258" t="s">
        <v>805</v>
      </c>
      <c r="AQ326" s="258" t="s">
        <v>806</v>
      </c>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c r="BM326" s="281"/>
      <c r="BN326" s="281"/>
      <c r="BO326" s="281"/>
      <c r="BP326" s="281"/>
      <c r="BQ326" s="281"/>
      <c r="BR326" s="281"/>
      <c r="BS326" s="281"/>
      <c r="BT326" s="281"/>
      <c r="BU326" s="281"/>
      <c r="BV326" s="281"/>
      <c r="BW326" s="281"/>
      <c r="BX326" s="281"/>
      <c r="BY326" s="281"/>
      <c r="BZ326" s="281"/>
    </row>
    <row r="327" spans="1:78" x14ac:dyDescent="0.2">
      <c r="A327" s="422">
        <v>101</v>
      </c>
      <c r="B327" s="716" t="str">
        <f>IF(Stammblatt!$L$4=1,'Kalkulation Herstellungskosten'!AP327,'Kalkulation Herstellungskosten'!AQ327)</f>
        <v>Absperrhilfen</v>
      </c>
      <c r="C327" s="424"/>
      <c r="D327" s="425"/>
      <c r="E327" s="426"/>
      <c r="F327" s="426"/>
      <c r="G327" s="426">
        <f>Absperrhilfen</f>
        <v>0</v>
      </c>
      <c r="H327" s="427"/>
      <c r="I327" s="428"/>
      <c r="J327" s="429"/>
      <c r="K327" s="427"/>
      <c r="L327" s="427"/>
      <c r="M327" s="427"/>
      <c r="N327" s="430"/>
      <c r="O327" s="749"/>
      <c r="P327" s="742"/>
      <c r="Q327" s="743"/>
      <c r="R327" s="741"/>
      <c r="S327" s="751"/>
      <c r="T327" s="774"/>
      <c r="U327" s="775"/>
      <c r="V327" s="809"/>
      <c r="W327" s="986"/>
      <c r="X327" s="749"/>
      <c r="Y327" s="744"/>
      <c r="Z327" s="743"/>
      <c r="AA327" s="741"/>
      <c r="AB327" s="391"/>
      <c r="AC327" s="401"/>
      <c r="AD327" s="92"/>
      <c r="AE327" s="92"/>
      <c r="AF327" s="92"/>
      <c r="AG327" s="561">
        <f>SUM(G327,AD327:AF327)</f>
        <v>0</v>
      </c>
      <c r="AH327" s="405"/>
      <c r="AI327" s="405"/>
      <c r="AJ327" s="405"/>
      <c r="AK327" s="405"/>
      <c r="AL327" s="405"/>
      <c r="AM327" s="405"/>
      <c r="AN327" s="405"/>
      <c r="AO327" s="405"/>
      <c r="AP327" s="258" t="s">
        <v>843</v>
      </c>
      <c r="AQ327" s="258" t="s">
        <v>844</v>
      </c>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row>
    <row r="328" spans="1:78" x14ac:dyDescent="0.2">
      <c r="A328" s="422"/>
      <c r="B328" s="716"/>
      <c r="C328" s="424"/>
      <c r="D328" s="425"/>
      <c r="E328" s="426"/>
      <c r="F328" s="426"/>
      <c r="G328" s="426"/>
      <c r="H328" s="427"/>
      <c r="I328" s="428"/>
      <c r="J328" s="429"/>
      <c r="K328" s="427"/>
      <c r="L328" s="427"/>
      <c r="M328" s="427"/>
      <c r="N328" s="430"/>
      <c r="O328" s="755"/>
      <c r="P328" s="745"/>
      <c r="Q328" s="745"/>
      <c r="R328" s="745"/>
      <c r="S328" s="751"/>
      <c r="T328" s="746"/>
      <c r="U328" s="435"/>
      <c r="V328" s="809"/>
      <c r="W328" s="986"/>
      <c r="X328" s="755"/>
      <c r="Y328" s="755"/>
      <c r="Z328" s="755"/>
      <c r="AA328" s="755"/>
      <c r="AB328" s="391"/>
      <c r="AC328" s="401"/>
      <c r="AD328" s="426"/>
      <c r="AE328" s="426"/>
      <c r="AF328" s="426"/>
      <c r="AG328" s="819"/>
      <c r="AH328" s="405"/>
      <c r="AI328" s="405"/>
      <c r="AJ328" s="405"/>
      <c r="AK328" s="405"/>
      <c r="AL328" s="405"/>
      <c r="AM328" s="405"/>
      <c r="AN328" s="405"/>
      <c r="AO328" s="405"/>
      <c r="AP328" s="258"/>
      <c r="AQ328" s="258"/>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1"/>
    </row>
    <row r="329" spans="1:78" x14ac:dyDescent="0.2">
      <c r="A329" s="422">
        <v>102</v>
      </c>
      <c r="B329" s="716" t="str">
        <f>IF(Stammblatt!$L$4=1,'Kalkulation Herstellungskosten'!AP329,'Kalkulation Herstellungskosten'!AQ329)</f>
        <v>Stromkosten (Bau/Abbau/Dreh) *)</v>
      </c>
      <c r="C329" s="33">
        <v>0</v>
      </c>
      <c r="D329" s="425"/>
      <c r="E329" s="37">
        <v>0</v>
      </c>
      <c r="F329" s="426"/>
      <c r="G329" s="426">
        <f>C329*E329</f>
        <v>0</v>
      </c>
      <c r="H329" s="427"/>
      <c r="I329" s="428"/>
      <c r="J329" s="460"/>
      <c r="K329" s="461"/>
      <c r="L329" s="461"/>
      <c r="M329" s="461"/>
      <c r="N329" s="462"/>
      <c r="O329" s="749"/>
      <c r="P329" s="742"/>
      <c r="Q329" s="743"/>
      <c r="R329" s="741"/>
      <c r="S329" s="751"/>
      <c r="T329" s="758"/>
      <c r="U329" s="741"/>
      <c r="V329" s="808">
        <f>SUM(T329:U329)</f>
        <v>0</v>
      </c>
      <c r="W329" s="562">
        <f>G329-V329</f>
        <v>0</v>
      </c>
      <c r="X329" s="749"/>
      <c r="Y329" s="744"/>
      <c r="Z329" s="743"/>
      <c r="AA329" s="741"/>
      <c r="AB329" s="391"/>
      <c r="AC329" s="401"/>
      <c r="AD329" s="92"/>
      <c r="AE329" s="92"/>
      <c r="AF329" s="92"/>
      <c r="AG329" s="561">
        <f>SUM(G329,AD329:AF329)</f>
        <v>0</v>
      </c>
      <c r="AH329" s="405"/>
      <c r="AI329" s="405"/>
      <c r="AJ329" s="405"/>
      <c r="AK329" s="405"/>
      <c r="AL329" s="405"/>
      <c r="AM329" s="405"/>
      <c r="AN329" s="405"/>
      <c r="AO329" s="405"/>
      <c r="AP329" s="258" t="s">
        <v>64</v>
      </c>
      <c r="AQ329" s="258" t="s">
        <v>390</v>
      </c>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c r="BM329" s="281"/>
      <c r="BN329" s="281"/>
      <c r="BO329" s="281"/>
      <c r="BP329" s="281"/>
      <c r="BQ329" s="281"/>
      <c r="BR329" s="281"/>
      <c r="BS329" s="281"/>
      <c r="BT329" s="281"/>
      <c r="BU329" s="281"/>
      <c r="BV329" s="281"/>
      <c r="BW329" s="281"/>
      <c r="BX329" s="281"/>
      <c r="BY329" s="281"/>
      <c r="BZ329" s="281"/>
    </row>
    <row r="330" spans="1:78" x14ac:dyDescent="0.2">
      <c r="A330" s="422">
        <v>103</v>
      </c>
      <c r="B330" s="716" t="str">
        <f>IF(Stammblatt!$L$4=1,'Kalkulation Herstellungskosten'!AP330,'Kalkulation Herstellungskosten'!AQ330)</f>
        <v>Sonstiges *)</v>
      </c>
      <c r="C330" s="424"/>
      <c r="D330" s="425"/>
      <c r="E330" s="426"/>
      <c r="F330" s="426"/>
      <c r="G330" s="37">
        <v>0</v>
      </c>
      <c r="H330" s="427"/>
      <c r="I330" s="428"/>
      <c r="J330" s="460"/>
      <c r="K330" s="461"/>
      <c r="L330" s="461"/>
      <c r="M330" s="461"/>
      <c r="N330" s="462"/>
      <c r="O330" s="749"/>
      <c r="P330" s="742"/>
      <c r="Q330" s="743"/>
      <c r="R330" s="741"/>
      <c r="S330" s="751"/>
      <c r="T330" s="758"/>
      <c r="U330" s="741"/>
      <c r="V330" s="808">
        <f>SUM(T330:U330)</f>
        <v>0</v>
      </c>
      <c r="W330" s="562">
        <f>G330-V330</f>
        <v>0</v>
      </c>
      <c r="X330" s="749"/>
      <c r="Y330" s="744"/>
      <c r="Z330" s="743"/>
      <c r="AA330" s="741"/>
      <c r="AB330" s="391"/>
      <c r="AC330" s="401"/>
      <c r="AD330" s="92"/>
      <c r="AE330" s="92"/>
      <c r="AF330" s="92"/>
      <c r="AG330" s="561">
        <f>SUM(G330,AD330:AF330)</f>
        <v>0</v>
      </c>
      <c r="AH330" s="405"/>
      <c r="AI330" s="405"/>
      <c r="AJ330" s="405"/>
      <c r="AK330" s="405"/>
      <c r="AL330" s="405"/>
      <c r="AM330" s="405"/>
      <c r="AN330" s="405"/>
      <c r="AO330" s="405"/>
      <c r="AP330" s="258" t="s">
        <v>41</v>
      </c>
      <c r="AQ330" s="258" t="s">
        <v>380</v>
      </c>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c r="BM330" s="281"/>
      <c r="BN330" s="281"/>
      <c r="BO330" s="281"/>
      <c r="BP330" s="281"/>
      <c r="BQ330" s="281"/>
      <c r="BR330" s="281"/>
      <c r="BS330" s="281"/>
      <c r="BT330" s="281"/>
      <c r="BU330" s="281"/>
      <c r="BV330" s="281"/>
      <c r="BW330" s="281"/>
      <c r="BX330" s="281"/>
      <c r="BY330" s="281"/>
      <c r="BZ330" s="281"/>
    </row>
    <row r="331" spans="1:78" x14ac:dyDescent="0.2">
      <c r="A331" s="398"/>
      <c r="B331" s="286"/>
      <c r="C331" s="399"/>
      <c r="D331" s="391"/>
      <c r="E331" s="400"/>
      <c r="F331" s="400"/>
      <c r="G331" s="400"/>
      <c r="H331" s="431"/>
      <c r="I331" s="394"/>
      <c r="J331" s="432"/>
      <c r="K331" s="431"/>
      <c r="L331" s="431"/>
      <c r="M331" s="431"/>
      <c r="N331" s="433"/>
      <c r="O331" s="745"/>
      <c r="P331" s="745"/>
      <c r="Q331" s="745"/>
      <c r="R331" s="745"/>
      <c r="S331" s="751"/>
      <c r="T331" s="746"/>
      <c r="U331" s="435"/>
      <c r="V331" s="809"/>
      <c r="W331" s="986"/>
      <c r="X331" s="745"/>
      <c r="Y331" s="745"/>
      <c r="Z331" s="745"/>
      <c r="AA331" s="745"/>
      <c r="AB331" s="391"/>
      <c r="AC331" s="401"/>
      <c r="AD331" s="400"/>
      <c r="AE331" s="400"/>
      <c r="AF331" s="400"/>
      <c r="AG331" s="281"/>
      <c r="AH331" s="405"/>
      <c r="AI331" s="405"/>
      <c r="AJ331" s="405"/>
      <c r="AK331" s="405"/>
      <c r="AL331" s="405"/>
      <c r="AM331" s="405"/>
      <c r="AN331" s="405"/>
      <c r="AO331" s="405"/>
      <c r="AP331" s="258"/>
      <c r="AQ331" s="258"/>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1"/>
      <c r="BZ331" s="281"/>
    </row>
    <row r="332" spans="1:78" x14ac:dyDescent="0.2">
      <c r="A332" s="112"/>
      <c r="B332" s="65" t="str">
        <f>IF(Stammblatt!$L$4=1,'Kalkulation Herstellungskosten'!AP332,'Kalkulation Herstellungskosten'!AQ332)</f>
        <v>Σ-Studiodreh, Originalmotive, Bauten</v>
      </c>
      <c r="C332" s="31"/>
      <c r="D332" s="40"/>
      <c r="E332" s="39"/>
      <c r="F332" s="39"/>
      <c r="G332" s="39">
        <f>SUM(G315:G331)</f>
        <v>0</v>
      </c>
      <c r="H332" s="39"/>
      <c r="I332" s="135"/>
      <c r="J332" s="143"/>
      <c r="K332" s="39"/>
      <c r="L332" s="39"/>
      <c r="M332" s="39"/>
      <c r="N332" s="141"/>
      <c r="O332" s="747">
        <f>SUM(O315:O331)</f>
        <v>0</v>
      </c>
      <c r="P332" s="747">
        <f>SUM(P315:P331)</f>
        <v>0</v>
      </c>
      <c r="Q332" s="113">
        <f t="shared" ref="Q332:R332" si="145">SUM(Q315:Q331)</f>
        <v>0</v>
      </c>
      <c r="R332" s="113">
        <f t="shared" si="145"/>
        <v>0</v>
      </c>
      <c r="S332" s="751"/>
      <c r="T332" s="748">
        <f>SUM(T315:T331)</f>
        <v>0</v>
      </c>
      <c r="U332" s="113">
        <f>SUM(U315:U331)</f>
        <v>0</v>
      </c>
      <c r="V332" s="113">
        <f>SUM(V315:V331)</f>
        <v>0</v>
      </c>
      <c r="W332" s="149">
        <f>ZS_5_Atelier_Ausleuchtung_Außenaufnahmen-V332</f>
        <v>0</v>
      </c>
      <c r="X332" s="113">
        <f>SUM(X315:X331)</f>
        <v>0</v>
      </c>
      <c r="Y332" s="113">
        <f>SUM(Y315:Y331)</f>
        <v>0</v>
      </c>
      <c r="Z332" s="113">
        <f t="shared" ref="Z332:AA332" si="146">SUM(Z315:Z331)</f>
        <v>0</v>
      </c>
      <c r="AA332" s="113">
        <f t="shared" si="146"/>
        <v>0</v>
      </c>
      <c r="AB332" s="391"/>
      <c r="AC332" s="401"/>
      <c r="AD332" s="104">
        <f>SUM(AD315:AD331)</f>
        <v>0</v>
      </c>
      <c r="AE332" s="104">
        <f>SUM(AE315:AE331)</f>
        <v>0</v>
      </c>
      <c r="AF332" s="104">
        <f>SUM(AF315:AF331)</f>
        <v>0</v>
      </c>
      <c r="AG332" s="39">
        <f>SUM(G332,AD332:AF332)</f>
        <v>0</v>
      </c>
      <c r="AH332" s="405"/>
      <c r="AI332" s="405"/>
      <c r="AJ332" s="405"/>
      <c r="AK332" s="405"/>
      <c r="AL332" s="405"/>
      <c r="AM332" s="405"/>
      <c r="AN332" s="405"/>
      <c r="AO332" s="405"/>
      <c r="AP332" s="258" t="s">
        <v>841</v>
      </c>
      <c r="AQ332" s="258" t="s">
        <v>842</v>
      </c>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c r="BM332" s="281"/>
      <c r="BN332" s="281"/>
      <c r="BO332" s="281"/>
      <c r="BP332" s="281"/>
      <c r="BQ332" s="281"/>
      <c r="BR332" s="281"/>
      <c r="BS332" s="281"/>
      <c r="BT332" s="281"/>
      <c r="BU332" s="281"/>
      <c r="BV332" s="281"/>
      <c r="BW332" s="281"/>
      <c r="BX332" s="281"/>
      <c r="BY332" s="281"/>
      <c r="BZ332" s="281"/>
    </row>
    <row r="333" spans="1:78" x14ac:dyDescent="0.2">
      <c r="A333" s="398"/>
      <c r="B333" s="286"/>
      <c r="C333" s="399"/>
      <c r="D333" s="391"/>
      <c r="E333" s="400"/>
      <c r="F333" s="400"/>
      <c r="G333" s="400"/>
      <c r="H333" s="431"/>
      <c r="I333" s="394"/>
      <c r="J333" s="432"/>
      <c r="K333" s="431"/>
      <c r="L333" s="431"/>
      <c r="M333" s="431"/>
      <c r="N333" s="433"/>
      <c r="O333" s="745"/>
      <c r="P333" s="745"/>
      <c r="Q333" s="745"/>
      <c r="R333" s="745"/>
      <c r="S333" s="751"/>
      <c r="T333" s="746"/>
      <c r="U333" s="435"/>
      <c r="V333" s="435"/>
      <c r="W333" s="435"/>
      <c r="X333" s="435"/>
      <c r="Y333" s="745"/>
      <c r="Z333" s="745"/>
      <c r="AA333" s="745"/>
      <c r="AB333" s="391"/>
      <c r="AC333" s="401"/>
      <c r="AD333" s="400"/>
      <c r="AE333" s="400"/>
      <c r="AF333" s="400"/>
      <c r="AG333" s="281"/>
      <c r="AH333" s="405"/>
      <c r="AI333" s="405"/>
      <c r="AJ333" s="405"/>
      <c r="AK333" s="405"/>
      <c r="AL333" s="405"/>
      <c r="AM333" s="405"/>
      <c r="AN333" s="405"/>
      <c r="AO333" s="405"/>
      <c r="AP333" s="258"/>
      <c r="AQ333" s="258"/>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c r="BM333" s="281"/>
      <c r="BN333" s="281"/>
      <c r="BO333" s="281"/>
      <c r="BP333" s="281"/>
      <c r="BQ333" s="281"/>
      <c r="BR333" s="281"/>
      <c r="BS333" s="281"/>
      <c r="BT333" s="281"/>
      <c r="BU333" s="281"/>
      <c r="BV333" s="281"/>
      <c r="BW333" s="281"/>
      <c r="BX333" s="281"/>
      <c r="BY333" s="281"/>
      <c r="BZ333" s="281"/>
    </row>
    <row r="334" spans="1:78" x14ac:dyDescent="0.2">
      <c r="A334" s="398"/>
      <c r="B334" s="286"/>
      <c r="C334" s="399"/>
      <c r="D334" s="391"/>
      <c r="E334" s="400"/>
      <c r="F334" s="400"/>
      <c r="G334" s="400"/>
      <c r="H334" s="431"/>
      <c r="I334" s="394"/>
      <c r="J334" s="432"/>
      <c r="K334" s="431"/>
      <c r="L334" s="431"/>
      <c r="M334" s="431"/>
      <c r="N334" s="433"/>
      <c r="O334" s="745"/>
      <c r="P334" s="745"/>
      <c r="Q334" s="745"/>
      <c r="R334" s="745"/>
      <c r="S334" s="751"/>
      <c r="T334" s="746"/>
      <c r="U334" s="435"/>
      <c r="V334" s="435"/>
      <c r="W334" s="435"/>
      <c r="X334" s="435"/>
      <c r="Y334" s="745"/>
      <c r="Z334" s="745"/>
      <c r="AA334" s="745"/>
      <c r="AB334" s="391"/>
      <c r="AC334" s="401"/>
      <c r="AD334" s="400"/>
      <c r="AE334" s="400"/>
      <c r="AF334" s="400"/>
      <c r="AG334" s="281"/>
      <c r="AH334" s="405"/>
      <c r="AI334" s="405"/>
      <c r="AJ334" s="405"/>
      <c r="AK334" s="405"/>
      <c r="AL334" s="405"/>
      <c r="AM334" s="405"/>
      <c r="AN334" s="405"/>
      <c r="AO334" s="405"/>
      <c r="AP334" s="258"/>
      <c r="AQ334" s="258"/>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c r="BM334" s="281"/>
      <c r="BN334" s="281"/>
      <c r="BO334" s="281"/>
      <c r="BP334" s="281"/>
      <c r="BQ334" s="281"/>
      <c r="BR334" s="281"/>
      <c r="BS334" s="281"/>
      <c r="BT334" s="281"/>
      <c r="BU334" s="281"/>
      <c r="BV334" s="281"/>
      <c r="BW334" s="281"/>
      <c r="BX334" s="281"/>
      <c r="BY334" s="281"/>
      <c r="BZ334" s="281"/>
    </row>
    <row r="335" spans="1:78" s="25" customFormat="1" x14ac:dyDescent="0.2">
      <c r="A335" s="406"/>
      <c r="B335" s="296" t="str">
        <f>IF(Stammblatt!$L$4=1,'Kalkulation Herstellungskosten'!AP335,'Kalkulation Herstellungskosten'!AQ335)</f>
        <v>6. Ausstattung</v>
      </c>
      <c r="C335" s="391" t="str">
        <f>IF(Stammblatt!$L$4=1,"Wochen","weeks")</f>
        <v>Wochen</v>
      </c>
      <c r="D335" s="391" t="s">
        <v>626</v>
      </c>
      <c r="E335" s="408"/>
      <c r="F335" s="408"/>
      <c r="G335" s="408"/>
      <c r="H335" s="401"/>
      <c r="I335" s="402"/>
      <c r="J335" s="409"/>
      <c r="K335" s="401"/>
      <c r="L335" s="401"/>
      <c r="M335" s="401"/>
      <c r="N335" s="410"/>
      <c r="O335" s="737"/>
      <c r="P335" s="737"/>
      <c r="Q335" s="737"/>
      <c r="R335" s="737"/>
      <c r="S335" s="751"/>
      <c r="T335" s="740"/>
      <c r="U335" s="441"/>
      <c r="V335" s="441"/>
      <c r="W335" s="441"/>
      <c r="X335" s="441"/>
      <c r="Y335" s="737"/>
      <c r="Z335" s="737"/>
      <c r="AA335" s="737"/>
      <c r="AB335" s="391"/>
      <c r="AC335" s="401"/>
      <c r="AD335" s="408"/>
      <c r="AE335" s="408"/>
      <c r="AF335" s="408"/>
      <c r="AG335" s="411"/>
      <c r="AH335" s="405"/>
      <c r="AI335" s="405"/>
      <c r="AJ335" s="405"/>
      <c r="AK335" s="405"/>
      <c r="AL335" s="405"/>
      <c r="AM335" s="405"/>
      <c r="AN335" s="405"/>
      <c r="AO335" s="405"/>
      <c r="AP335" s="258" t="s">
        <v>65</v>
      </c>
      <c r="AQ335" s="258" t="s">
        <v>496</v>
      </c>
      <c r="AR335" s="411"/>
      <c r="AS335" s="411"/>
      <c r="AT335" s="411"/>
      <c r="AU335" s="411"/>
      <c r="AV335" s="411"/>
      <c r="AW335" s="411"/>
      <c r="AX335" s="411"/>
      <c r="AY335" s="411"/>
      <c r="AZ335" s="411"/>
      <c r="BA335" s="411"/>
      <c r="BB335" s="411"/>
      <c r="BC335" s="411"/>
      <c r="BD335" s="411"/>
      <c r="BE335" s="411"/>
      <c r="BF335" s="411"/>
      <c r="BG335" s="411"/>
      <c r="BH335" s="411"/>
      <c r="BI335" s="411"/>
      <c r="BJ335" s="411"/>
      <c r="BK335" s="411"/>
      <c r="BL335" s="411"/>
      <c r="BM335" s="411"/>
      <c r="BN335" s="411"/>
      <c r="BO335" s="411"/>
      <c r="BP335" s="411"/>
      <c r="BQ335" s="411"/>
      <c r="BR335" s="411"/>
      <c r="BS335" s="411"/>
      <c r="BT335" s="411"/>
      <c r="BU335" s="411"/>
      <c r="BV335" s="411"/>
      <c r="BW335" s="411"/>
      <c r="BX335" s="411"/>
      <c r="BY335" s="411"/>
      <c r="BZ335" s="411"/>
    </row>
    <row r="336" spans="1:78" x14ac:dyDescent="0.2">
      <c r="A336" s="422">
        <v>104</v>
      </c>
      <c r="B336" s="716" t="str">
        <f>IF(Stammblatt!$L$4=1,'Kalkulation Herstellungskosten'!AP336,'Kalkulation Herstellungskosten'!AQ336)</f>
        <v>Kostüm - Kauf</v>
      </c>
      <c r="C336" s="424"/>
      <c r="D336" s="425"/>
      <c r="E336" s="426"/>
      <c r="F336" s="426"/>
      <c r="G336" s="561">
        <f>Darsteller!O55+Darsteller!O62</f>
        <v>0</v>
      </c>
      <c r="H336" s="427"/>
      <c r="I336" s="428"/>
      <c r="J336" s="429"/>
      <c r="K336" s="427"/>
      <c r="L336" s="427"/>
      <c r="M336" s="427"/>
      <c r="N336" s="430"/>
      <c r="O336" s="749"/>
      <c r="P336" s="742"/>
      <c r="Q336" s="743"/>
      <c r="R336" s="741"/>
      <c r="S336" s="751"/>
      <c r="T336" s="758"/>
      <c r="U336" s="741"/>
      <c r="V336" s="808">
        <f t="shared" ref="V336:V346" si="147">SUM(T336:U336)</f>
        <v>0</v>
      </c>
      <c r="W336" s="808">
        <f t="shared" ref="W336:W346" si="148">G336-V336</f>
        <v>0</v>
      </c>
      <c r="X336" s="749"/>
      <c r="Y336" s="744"/>
      <c r="Z336" s="743"/>
      <c r="AA336" s="741"/>
      <c r="AB336" s="391"/>
      <c r="AC336" s="401"/>
      <c r="AD336" s="906">
        <f>Darsteller!V55+Darsteller!V62</f>
        <v>0</v>
      </c>
      <c r="AE336" s="906">
        <f>Darsteller!W55+Darsteller!W62</f>
        <v>0</v>
      </c>
      <c r="AF336" s="906">
        <f>Darsteller!X55+Darsteller!X62</f>
        <v>0</v>
      </c>
      <c r="AG336" s="561">
        <f t="shared" ref="AG336:AG346" si="149">SUM(G336,AD336:AF336)</f>
        <v>0</v>
      </c>
      <c r="AH336" s="405"/>
      <c r="AI336" s="405"/>
      <c r="AJ336" s="405"/>
      <c r="AK336" s="405"/>
      <c r="AL336" s="405"/>
      <c r="AM336" s="405"/>
      <c r="AN336" s="405"/>
      <c r="AO336" s="405"/>
      <c r="AP336" s="258" t="s">
        <v>66</v>
      </c>
      <c r="AQ336" s="258" t="s">
        <v>392</v>
      </c>
      <c r="AR336" s="281"/>
      <c r="AS336" s="281"/>
      <c r="AT336" s="281"/>
      <c r="AU336" s="281"/>
      <c r="AV336" s="281"/>
      <c r="AW336" s="281"/>
      <c r="AX336" s="281"/>
      <c r="AY336" s="281"/>
      <c r="AZ336" s="281"/>
      <c r="BA336" s="281"/>
      <c r="BB336" s="281"/>
      <c r="BC336" s="281"/>
      <c r="BD336" s="281"/>
      <c r="BE336" s="281"/>
      <c r="BF336" s="281"/>
      <c r="BG336" s="281"/>
      <c r="BH336" s="281"/>
      <c r="BI336" s="281"/>
      <c r="BJ336" s="281"/>
      <c r="BK336" s="281"/>
      <c r="BL336" s="281"/>
      <c r="BM336" s="281"/>
      <c r="BN336" s="281"/>
      <c r="BO336" s="281"/>
      <c r="BP336" s="281"/>
      <c r="BQ336" s="281"/>
      <c r="BR336" s="281"/>
      <c r="BS336" s="281"/>
      <c r="BT336" s="281"/>
      <c r="BU336" s="281"/>
      <c r="BV336" s="281"/>
      <c r="BW336" s="281"/>
      <c r="BX336" s="281"/>
      <c r="BY336" s="281"/>
      <c r="BZ336" s="281"/>
    </row>
    <row r="337" spans="1:78" x14ac:dyDescent="0.2">
      <c r="A337" s="422">
        <v>105</v>
      </c>
      <c r="B337" s="716" t="str">
        <f>IF(Stammblatt!$L$4=1,'Kalkulation Herstellungskosten'!AP337,'Kalkulation Herstellungskosten'!AQ337)</f>
        <v>Kostüm - Miete *)</v>
      </c>
      <c r="C337" s="33">
        <v>0</v>
      </c>
      <c r="D337" s="425"/>
      <c r="E337" s="37">
        <v>0</v>
      </c>
      <c r="F337" s="426"/>
      <c r="G337" s="426">
        <f>C337*E337</f>
        <v>0</v>
      </c>
      <c r="H337" s="427"/>
      <c r="I337" s="428"/>
      <c r="J337" s="460"/>
      <c r="K337" s="461"/>
      <c r="L337" s="461"/>
      <c r="M337" s="461"/>
      <c r="N337" s="462"/>
      <c r="O337" s="749"/>
      <c r="P337" s="742"/>
      <c r="Q337" s="743"/>
      <c r="R337" s="741"/>
      <c r="S337" s="751"/>
      <c r="T337" s="758"/>
      <c r="U337" s="741"/>
      <c r="V337" s="808">
        <f t="shared" si="147"/>
        <v>0</v>
      </c>
      <c r="W337" s="808">
        <f t="shared" si="148"/>
        <v>0</v>
      </c>
      <c r="X337" s="749"/>
      <c r="Y337" s="744"/>
      <c r="Z337" s="743"/>
      <c r="AA337" s="741"/>
      <c r="AB337" s="391"/>
      <c r="AC337" s="401"/>
      <c r="AD337" s="92"/>
      <c r="AE337" s="92"/>
      <c r="AF337" s="92"/>
      <c r="AG337" s="561">
        <f t="shared" si="149"/>
        <v>0</v>
      </c>
      <c r="AH337" s="405"/>
      <c r="AI337" s="405"/>
      <c r="AJ337" s="405"/>
      <c r="AK337" s="405"/>
      <c r="AL337" s="405"/>
      <c r="AM337" s="405"/>
      <c r="AN337" s="405"/>
      <c r="AO337" s="405"/>
      <c r="AP337" s="258" t="s">
        <v>67</v>
      </c>
      <c r="AQ337" s="258" t="s">
        <v>393</v>
      </c>
      <c r="AR337" s="281"/>
      <c r="AS337" s="281"/>
      <c r="AT337" s="281"/>
      <c r="AU337" s="281"/>
      <c r="AV337" s="281"/>
      <c r="AW337" s="281"/>
      <c r="AX337" s="281"/>
      <c r="AY337" s="281"/>
      <c r="AZ337" s="281"/>
      <c r="BA337" s="281"/>
      <c r="BB337" s="281"/>
      <c r="BC337" s="281"/>
      <c r="BD337" s="281"/>
      <c r="BE337" s="281"/>
      <c r="BF337" s="281"/>
      <c r="BG337" s="281"/>
      <c r="BH337" s="281"/>
      <c r="BI337" s="281"/>
      <c r="BJ337" s="281"/>
      <c r="BK337" s="281"/>
      <c r="BL337" s="281"/>
      <c r="BM337" s="281"/>
      <c r="BN337" s="281"/>
      <c r="BO337" s="281"/>
      <c r="BP337" s="281"/>
      <c r="BQ337" s="281"/>
      <c r="BR337" s="281"/>
      <c r="BS337" s="281"/>
      <c r="BT337" s="281"/>
      <c r="BU337" s="281"/>
      <c r="BV337" s="281"/>
      <c r="BW337" s="281"/>
      <c r="BX337" s="281"/>
      <c r="BY337" s="281"/>
      <c r="BZ337" s="281"/>
    </row>
    <row r="338" spans="1:78" x14ac:dyDescent="0.2">
      <c r="A338" s="422">
        <v>106</v>
      </c>
      <c r="B338" s="716" t="str">
        <f>IF(Stammblatt!$L$4=1,'Kalkulation Herstellungskosten'!AP338,'Kalkulation Herstellungskosten'!AQ338)</f>
        <v>Möbel-Requisiten-Stoffe - Kauf</v>
      </c>
      <c r="C338" s="424"/>
      <c r="D338" s="425"/>
      <c r="E338" s="426"/>
      <c r="F338" s="426"/>
      <c r="G338" s="426">
        <f>Requisiten</f>
        <v>0</v>
      </c>
      <c r="H338" s="427"/>
      <c r="I338" s="428"/>
      <c r="J338" s="460"/>
      <c r="K338" s="461"/>
      <c r="L338" s="461"/>
      <c r="M338" s="461"/>
      <c r="N338" s="462"/>
      <c r="O338" s="749"/>
      <c r="P338" s="742"/>
      <c r="Q338" s="743"/>
      <c r="R338" s="741"/>
      <c r="S338" s="751"/>
      <c r="T338" s="758"/>
      <c r="U338" s="741"/>
      <c r="V338" s="808">
        <f t="shared" si="147"/>
        <v>0</v>
      </c>
      <c r="W338" s="808">
        <f t="shared" si="148"/>
        <v>0</v>
      </c>
      <c r="X338" s="749"/>
      <c r="Y338" s="744"/>
      <c r="Z338" s="743"/>
      <c r="AA338" s="741"/>
      <c r="AB338" s="391"/>
      <c r="AC338" s="401"/>
      <c r="AD338" s="92"/>
      <c r="AE338" s="92"/>
      <c r="AF338" s="92"/>
      <c r="AG338" s="561">
        <f t="shared" si="149"/>
        <v>0</v>
      </c>
      <c r="AH338" s="405"/>
      <c r="AI338" s="405"/>
      <c r="AJ338" s="405"/>
      <c r="AK338" s="405"/>
      <c r="AL338" s="405"/>
      <c r="AM338" s="405"/>
      <c r="AN338" s="405"/>
      <c r="AO338" s="405"/>
      <c r="AP338" s="258" t="s">
        <v>214</v>
      </c>
      <c r="AQ338" s="258" t="s">
        <v>394</v>
      </c>
      <c r="AR338" s="281"/>
      <c r="AS338" s="281"/>
      <c r="AT338" s="281"/>
      <c r="AU338" s="281"/>
      <c r="AV338" s="281"/>
      <c r="AW338" s="281"/>
      <c r="AX338" s="281"/>
      <c r="AY338" s="281"/>
      <c r="AZ338" s="281"/>
      <c r="BA338" s="281"/>
      <c r="BB338" s="281"/>
      <c r="BC338" s="281"/>
      <c r="BD338" s="281"/>
      <c r="BE338" s="281"/>
      <c r="BF338" s="281"/>
      <c r="BG338" s="281"/>
      <c r="BH338" s="281"/>
      <c r="BI338" s="281"/>
      <c r="BJ338" s="281"/>
      <c r="BK338" s="281"/>
      <c r="BL338" s="281"/>
      <c r="BM338" s="281"/>
      <c r="BN338" s="281"/>
      <c r="BO338" s="281"/>
      <c r="BP338" s="281"/>
      <c r="BQ338" s="281"/>
      <c r="BR338" s="281"/>
      <c r="BS338" s="281"/>
      <c r="BT338" s="281"/>
      <c r="BU338" s="281"/>
      <c r="BV338" s="281"/>
      <c r="BW338" s="281"/>
      <c r="BX338" s="281"/>
      <c r="BY338" s="281"/>
      <c r="BZ338" s="281"/>
    </row>
    <row r="339" spans="1:78" x14ac:dyDescent="0.2">
      <c r="A339" s="422">
        <v>107</v>
      </c>
      <c r="B339" s="716" t="str">
        <f>IF(Stammblatt!$L$4=1,'Kalkulation Herstellungskosten'!AP339,'Kalkulation Herstellungskosten'!AQ339)</f>
        <v>Möbel-Requisiten-Stoffe-Miete *)</v>
      </c>
      <c r="C339" s="33">
        <v>0</v>
      </c>
      <c r="D339" s="425"/>
      <c r="E339" s="37">
        <v>0</v>
      </c>
      <c r="F339" s="426"/>
      <c r="G339" s="426">
        <f>C339*E339</f>
        <v>0</v>
      </c>
      <c r="H339" s="427"/>
      <c r="I339" s="428"/>
      <c r="J339" s="460"/>
      <c r="K339" s="461"/>
      <c r="L339" s="461"/>
      <c r="M339" s="461"/>
      <c r="N339" s="462"/>
      <c r="O339" s="749"/>
      <c r="P339" s="742"/>
      <c r="Q339" s="743"/>
      <c r="R339" s="741"/>
      <c r="S339" s="751"/>
      <c r="T339" s="758"/>
      <c r="U339" s="741"/>
      <c r="V339" s="808">
        <f t="shared" si="147"/>
        <v>0</v>
      </c>
      <c r="W339" s="808">
        <f t="shared" si="148"/>
        <v>0</v>
      </c>
      <c r="X339" s="749"/>
      <c r="Y339" s="744"/>
      <c r="Z339" s="743"/>
      <c r="AA339" s="741"/>
      <c r="AB339" s="391"/>
      <c r="AC339" s="401"/>
      <c r="AD339" s="92"/>
      <c r="AE339" s="92"/>
      <c r="AF339" s="92"/>
      <c r="AG339" s="561">
        <f t="shared" si="149"/>
        <v>0</v>
      </c>
      <c r="AH339" s="405"/>
      <c r="AI339" s="405"/>
      <c r="AJ339" s="405"/>
      <c r="AK339" s="405"/>
      <c r="AL339" s="405"/>
      <c r="AM339" s="405"/>
      <c r="AN339" s="405"/>
      <c r="AO339" s="405"/>
      <c r="AP339" s="258" t="s">
        <v>68</v>
      </c>
      <c r="AQ339" s="258" t="s">
        <v>395</v>
      </c>
      <c r="AR339" s="281"/>
      <c r="AS339" s="281"/>
      <c r="AT339" s="281"/>
      <c r="AU339" s="281"/>
      <c r="AV339" s="281"/>
      <c r="AW339" s="281"/>
      <c r="AX339" s="281"/>
      <c r="AY339" s="281"/>
      <c r="AZ339" s="281"/>
      <c r="BA339" s="281"/>
      <c r="BB339" s="281"/>
      <c r="BC339" s="281"/>
      <c r="BD339" s="281"/>
      <c r="BE339" s="281"/>
      <c r="BF339" s="281"/>
      <c r="BG339" s="281"/>
      <c r="BH339" s="281"/>
      <c r="BI339" s="281"/>
      <c r="BJ339" s="281"/>
      <c r="BK339" s="281"/>
      <c r="BL339" s="281"/>
      <c r="BM339" s="281"/>
      <c r="BN339" s="281"/>
      <c r="BO339" s="281"/>
      <c r="BP339" s="281"/>
      <c r="BQ339" s="281"/>
      <c r="BR339" s="281"/>
      <c r="BS339" s="281"/>
      <c r="BT339" s="281"/>
      <c r="BU339" s="281"/>
      <c r="BV339" s="281"/>
      <c r="BW339" s="281"/>
      <c r="BX339" s="281"/>
      <c r="BY339" s="281"/>
      <c r="BZ339" s="281"/>
    </row>
    <row r="340" spans="1:78" x14ac:dyDescent="0.2">
      <c r="A340" s="422">
        <v>108</v>
      </c>
      <c r="B340" s="716" t="str">
        <f>IF(Stammblatt!$L$4=1,'Kalkulation Herstellungskosten'!AP340,'Kalkulation Herstellungskosten'!AQ340)</f>
        <v>Haarteile - Kauf</v>
      </c>
      <c r="C340" s="424"/>
      <c r="D340" s="425"/>
      <c r="E340" s="426"/>
      <c r="F340" s="426"/>
      <c r="G340" s="37">
        <v>0</v>
      </c>
      <c r="H340" s="427"/>
      <c r="I340" s="428"/>
      <c r="J340" s="460"/>
      <c r="K340" s="461"/>
      <c r="L340" s="461"/>
      <c r="M340" s="461"/>
      <c r="N340" s="462"/>
      <c r="O340" s="749"/>
      <c r="P340" s="742"/>
      <c r="Q340" s="743"/>
      <c r="R340" s="741"/>
      <c r="S340" s="751"/>
      <c r="T340" s="758"/>
      <c r="U340" s="741"/>
      <c r="V340" s="808">
        <f t="shared" si="147"/>
        <v>0</v>
      </c>
      <c r="W340" s="808">
        <f t="shared" si="148"/>
        <v>0</v>
      </c>
      <c r="X340" s="749"/>
      <c r="Y340" s="744"/>
      <c r="Z340" s="743"/>
      <c r="AA340" s="741"/>
      <c r="AB340" s="391"/>
      <c r="AC340" s="401"/>
      <c r="AD340" s="92"/>
      <c r="AE340" s="92"/>
      <c r="AF340" s="92"/>
      <c r="AG340" s="561">
        <f t="shared" si="149"/>
        <v>0</v>
      </c>
      <c r="AH340" s="405"/>
      <c r="AI340" s="405"/>
      <c r="AJ340" s="405"/>
      <c r="AK340" s="405"/>
      <c r="AL340" s="405"/>
      <c r="AM340" s="405"/>
      <c r="AN340" s="405"/>
      <c r="AO340" s="405"/>
      <c r="AP340" s="258" t="s">
        <v>69</v>
      </c>
      <c r="AQ340" s="258" t="s">
        <v>396</v>
      </c>
      <c r="AR340" s="281"/>
      <c r="AS340" s="281"/>
      <c r="AT340" s="281"/>
      <c r="AU340" s="281"/>
      <c r="AV340" s="281"/>
      <c r="AW340" s="281"/>
      <c r="AX340" s="281"/>
      <c r="AY340" s="281"/>
      <c r="AZ340" s="281"/>
      <c r="BA340" s="281"/>
      <c r="BB340" s="281"/>
      <c r="BC340" s="281"/>
      <c r="BD340" s="281"/>
      <c r="BE340" s="281"/>
      <c r="BF340" s="281"/>
      <c r="BG340" s="281"/>
      <c r="BH340" s="281"/>
      <c r="BI340" s="281"/>
      <c r="BJ340" s="281"/>
      <c r="BK340" s="281"/>
      <c r="BL340" s="281"/>
      <c r="BM340" s="281"/>
      <c r="BN340" s="281"/>
      <c r="BO340" s="281"/>
      <c r="BP340" s="281"/>
      <c r="BQ340" s="281"/>
      <c r="BR340" s="281"/>
      <c r="BS340" s="281"/>
      <c r="BT340" s="281"/>
      <c r="BU340" s="281"/>
      <c r="BV340" s="281"/>
      <c r="BW340" s="281"/>
      <c r="BX340" s="281"/>
      <c r="BY340" s="281"/>
      <c r="BZ340" s="281"/>
    </row>
    <row r="341" spans="1:78" x14ac:dyDescent="0.2">
      <c r="A341" s="422">
        <v>109</v>
      </c>
      <c r="B341" s="716" t="str">
        <f>IF(Stammblatt!$L$4=1,'Kalkulation Herstellungskosten'!AP341,'Kalkulation Herstellungskosten'!AQ341)</f>
        <v>Haarteile - Miete *)</v>
      </c>
      <c r="C341" s="33">
        <v>0</v>
      </c>
      <c r="D341" s="425"/>
      <c r="E341" s="37">
        <v>0</v>
      </c>
      <c r="F341" s="426"/>
      <c r="G341" s="426">
        <f>C341*E341</f>
        <v>0</v>
      </c>
      <c r="H341" s="427"/>
      <c r="I341" s="428"/>
      <c r="J341" s="460"/>
      <c r="K341" s="461"/>
      <c r="L341" s="461"/>
      <c r="M341" s="461"/>
      <c r="N341" s="462"/>
      <c r="O341" s="749"/>
      <c r="P341" s="742"/>
      <c r="Q341" s="743"/>
      <c r="R341" s="741"/>
      <c r="S341" s="751"/>
      <c r="T341" s="758"/>
      <c r="U341" s="741"/>
      <c r="V341" s="808">
        <f t="shared" si="147"/>
        <v>0</v>
      </c>
      <c r="W341" s="808">
        <f t="shared" si="148"/>
        <v>0</v>
      </c>
      <c r="X341" s="749"/>
      <c r="Y341" s="744"/>
      <c r="Z341" s="743"/>
      <c r="AA341" s="741"/>
      <c r="AB341" s="391"/>
      <c r="AC341" s="401"/>
      <c r="AD341" s="92"/>
      <c r="AE341" s="92"/>
      <c r="AF341" s="92"/>
      <c r="AG341" s="561">
        <f t="shared" si="149"/>
        <v>0</v>
      </c>
      <c r="AH341" s="405"/>
      <c r="AI341" s="405"/>
      <c r="AJ341" s="405"/>
      <c r="AK341" s="405"/>
      <c r="AL341" s="405"/>
      <c r="AM341" s="405"/>
      <c r="AN341" s="405"/>
      <c r="AO341" s="405"/>
      <c r="AP341" s="258" t="s">
        <v>70</v>
      </c>
      <c r="AQ341" s="258" t="s">
        <v>397</v>
      </c>
      <c r="AR341" s="281"/>
      <c r="AS341" s="281"/>
      <c r="AT341" s="281"/>
      <c r="AU341" s="281"/>
      <c r="AV341" s="281"/>
      <c r="AW341" s="281"/>
      <c r="AX341" s="281"/>
      <c r="AY341" s="281"/>
      <c r="AZ341" s="281"/>
      <c r="BA341" s="281"/>
      <c r="BB341" s="281"/>
      <c r="BC341" s="281"/>
      <c r="BD341" s="281"/>
      <c r="BE341" s="281"/>
      <c r="BF341" s="281"/>
      <c r="BG341" s="281"/>
      <c r="BH341" s="281"/>
      <c r="BI341" s="281"/>
      <c r="BJ341" s="281"/>
      <c r="BK341" s="281"/>
      <c r="BL341" s="281"/>
      <c r="BM341" s="281"/>
      <c r="BN341" s="281"/>
      <c r="BO341" s="281"/>
      <c r="BP341" s="281"/>
      <c r="BQ341" s="281"/>
      <c r="BR341" s="281"/>
      <c r="BS341" s="281"/>
      <c r="BT341" s="281"/>
      <c r="BU341" s="281"/>
      <c r="BV341" s="281"/>
      <c r="BW341" s="281"/>
      <c r="BX341" s="281"/>
      <c r="BY341" s="281"/>
      <c r="BZ341" s="281"/>
    </row>
    <row r="342" spans="1:78" x14ac:dyDescent="0.2">
      <c r="A342" s="422">
        <v>110</v>
      </c>
      <c r="B342" s="716" t="str">
        <f>IF(Stammblatt!$L$4=1,'Kalkulation Herstellungskosten'!AP342,'Kalkulation Herstellungskosten'!AQ342)</f>
        <v>Schminkmaterial</v>
      </c>
      <c r="C342" s="424"/>
      <c r="D342" s="425"/>
      <c r="E342" s="426"/>
      <c r="F342" s="426"/>
      <c r="G342" s="37">
        <v>0</v>
      </c>
      <c r="H342" s="427"/>
      <c r="I342" s="428"/>
      <c r="J342" s="460"/>
      <c r="K342" s="461"/>
      <c r="L342" s="461"/>
      <c r="M342" s="461"/>
      <c r="N342" s="462"/>
      <c r="O342" s="749"/>
      <c r="P342" s="742"/>
      <c r="Q342" s="743"/>
      <c r="R342" s="741"/>
      <c r="S342" s="751"/>
      <c r="T342" s="758"/>
      <c r="U342" s="741"/>
      <c r="V342" s="808">
        <f t="shared" si="147"/>
        <v>0</v>
      </c>
      <c r="W342" s="808">
        <f t="shared" si="148"/>
        <v>0</v>
      </c>
      <c r="X342" s="749"/>
      <c r="Y342" s="744"/>
      <c r="Z342" s="743"/>
      <c r="AA342" s="741"/>
      <c r="AB342" s="391"/>
      <c r="AC342" s="401"/>
      <c r="AD342" s="92"/>
      <c r="AE342" s="92"/>
      <c r="AF342" s="92"/>
      <c r="AG342" s="561">
        <f t="shared" si="149"/>
        <v>0</v>
      </c>
      <c r="AH342" s="405"/>
      <c r="AI342" s="405"/>
      <c r="AJ342" s="405"/>
      <c r="AK342" s="405"/>
      <c r="AL342" s="405"/>
      <c r="AM342" s="405"/>
      <c r="AN342" s="405"/>
      <c r="AO342" s="405"/>
      <c r="AP342" s="258" t="s">
        <v>71</v>
      </c>
      <c r="AQ342" s="258" t="s">
        <v>398</v>
      </c>
      <c r="AR342" s="281"/>
      <c r="AS342" s="281"/>
      <c r="AT342" s="281"/>
      <c r="AU342" s="281"/>
      <c r="AV342" s="281"/>
      <c r="AW342" s="281"/>
      <c r="AX342" s="281"/>
      <c r="AY342" s="281"/>
      <c r="AZ342" s="281"/>
      <c r="BA342" s="281"/>
      <c r="BB342" s="281"/>
      <c r="BC342" s="281"/>
      <c r="BD342" s="281"/>
      <c r="BE342" s="281"/>
      <c r="BF342" s="281"/>
      <c r="BG342" s="281"/>
      <c r="BH342" s="281"/>
      <c r="BI342" s="281"/>
      <c r="BJ342" s="281"/>
      <c r="BK342" s="281"/>
      <c r="BL342" s="281"/>
      <c r="BM342" s="281"/>
      <c r="BN342" s="281"/>
      <c r="BO342" s="281"/>
      <c r="BP342" s="281"/>
      <c r="BQ342" s="281"/>
      <c r="BR342" s="281"/>
      <c r="BS342" s="281"/>
      <c r="BT342" s="281"/>
      <c r="BU342" s="281"/>
      <c r="BV342" s="281"/>
      <c r="BW342" s="281"/>
      <c r="BX342" s="281"/>
      <c r="BY342" s="281"/>
      <c r="BZ342" s="281"/>
    </row>
    <row r="343" spans="1:78" x14ac:dyDescent="0.2">
      <c r="A343" s="422">
        <v>111</v>
      </c>
      <c r="B343" s="716" t="str">
        <f>IF(Stammblatt!$L$4=1,'Kalkulation Herstellungskosten'!AP343,'Kalkulation Herstellungskosten'!AQ343)</f>
        <v>Miete für Musikinstrumente</v>
      </c>
      <c r="C343" s="424"/>
      <c r="D343" s="425"/>
      <c r="E343" s="426"/>
      <c r="F343" s="426"/>
      <c r="G343" s="37">
        <v>0</v>
      </c>
      <c r="H343" s="427"/>
      <c r="I343" s="428"/>
      <c r="J343" s="460"/>
      <c r="K343" s="461"/>
      <c r="L343" s="461"/>
      <c r="M343" s="461"/>
      <c r="N343" s="462"/>
      <c r="O343" s="749"/>
      <c r="P343" s="742"/>
      <c r="Q343" s="743"/>
      <c r="R343" s="741"/>
      <c r="S343" s="751"/>
      <c r="T343" s="758"/>
      <c r="U343" s="741"/>
      <c r="V343" s="808">
        <f t="shared" si="147"/>
        <v>0</v>
      </c>
      <c r="W343" s="808">
        <f t="shared" si="148"/>
        <v>0</v>
      </c>
      <c r="X343" s="749"/>
      <c r="Y343" s="744"/>
      <c r="Z343" s="743"/>
      <c r="AA343" s="741"/>
      <c r="AB343" s="391"/>
      <c r="AC343" s="401"/>
      <c r="AD343" s="92"/>
      <c r="AE343" s="92"/>
      <c r="AF343" s="92"/>
      <c r="AG343" s="561">
        <f t="shared" si="149"/>
        <v>0</v>
      </c>
      <c r="AH343" s="405"/>
      <c r="AI343" s="405"/>
      <c r="AJ343" s="405"/>
      <c r="AK343" s="405"/>
      <c r="AL343" s="405"/>
      <c r="AM343" s="405"/>
      <c r="AN343" s="405"/>
      <c r="AO343" s="405"/>
      <c r="AP343" s="258" t="s">
        <v>72</v>
      </c>
      <c r="AQ343" s="258" t="s">
        <v>399</v>
      </c>
      <c r="AR343" s="281"/>
      <c r="AS343" s="281"/>
      <c r="AT343" s="281"/>
      <c r="AU343" s="281"/>
      <c r="AV343" s="281"/>
      <c r="AW343" s="281"/>
      <c r="AX343" s="281"/>
      <c r="AY343" s="281"/>
      <c r="AZ343" s="281"/>
      <c r="BA343" s="281"/>
      <c r="BB343" s="281"/>
      <c r="BC343" s="281"/>
      <c r="BD343" s="281"/>
      <c r="BE343" s="281"/>
      <c r="BF343" s="281"/>
      <c r="BG343" s="281"/>
      <c r="BH343" s="281"/>
      <c r="BI343" s="281"/>
      <c r="BJ343" s="281"/>
      <c r="BK343" s="281"/>
      <c r="BL343" s="281"/>
      <c r="BM343" s="281"/>
      <c r="BN343" s="281"/>
      <c r="BO343" s="281"/>
      <c r="BP343" s="281"/>
      <c r="BQ343" s="281"/>
      <c r="BR343" s="281"/>
      <c r="BS343" s="281"/>
      <c r="BT343" s="281"/>
      <c r="BU343" s="281"/>
      <c r="BV343" s="281"/>
      <c r="BW343" s="281"/>
      <c r="BX343" s="281"/>
      <c r="BY343" s="281"/>
      <c r="BZ343" s="281"/>
    </row>
    <row r="344" spans="1:78" x14ac:dyDescent="0.2">
      <c r="A344" s="422">
        <v>112</v>
      </c>
      <c r="B344" s="716" t="str">
        <f>IF(Stammblatt!$L$4=1,'Kalkulation Herstellungskosten'!AP344,'Kalkulation Herstellungskosten'!AQ344)</f>
        <v>Spielfahrzeuge</v>
      </c>
      <c r="C344" s="424"/>
      <c r="D344" s="425"/>
      <c r="E344" s="426"/>
      <c r="F344" s="426"/>
      <c r="G344" s="426">
        <f>Spielfahrzeuge</f>
        <v>0</v>
      </c>
      <c r="H344" s="427"/>
      <c r="I344" s="428"/>
      <c r="J344" s="460"/>
      <c r="K344" s="461"/>
      <c r="L344" s="461"/>
      <c r="M344" s="461"/>
      <c r="N344" s="462"/>
      <c r="O344" s="749"/>
      <c r="P344" s="742"/>
      <c r="Q344" s="743"/>
      <c r="R344" s="741"/>
      <c r="S344" s="751"/>
      <c r="T344" s="758"/>
      <c r="U344" s="741"/>
      <c r="V344" s="808">
        <f t="shared" si="147"/>
        <v>0</v>
      </c>
      <c r="W344" s="808">
        <f t="shared" si="148"/>
        <v>0</v>
      </c>
      <c r="X344" s="749"/>
      <c r="Y344" s="744"/>
      <c r="Z344" s="743"/>
      <c r="AA344" s="741"/>
      <c r="AB344" s="391"/>
      <c r="AC344" s="401"/>
      <c r="AD344" s="92"/>
      <c r="AE344" s="92"/>
      <c r="AF344" s="92"/>
      <c r="AG344" s="561">
        <f t="shared" si="149"/>
        <v>0</v>
      </c>
      <c r="AH344" s="405"/>
      <c r="AI344" s="405"/>
      <c r="AJ344" s="405"/>
      <c r="AK344" s="405"/>
      <c r="AL344" s="405"/>
      <c r="AM344" s="405"/>
      <c r="AN344" s="405"/>
      <c r="AO344" s="405"/>
      <c r="AP344" s="258" t="s">
        <v>829</v>
      </c>
      <c r="AQ344" s="258" t="s">
        <v>830</v>
      </c>
      <c r="AR344" s="281"/>
      <c r="AS344" s="281"/>
      <c r="AT344" s="281"/>
      <c r="AU344" s="281"/>
      <c r="AV344" s="281"/>
      <c r="AW344" s="281"/>
      <c r="AX344" s="281"/>
      <c r="AY344" s="281"/>
      <c r="AZ344" s="281"/>
      <c r="BA344" s="281"/>
      <c r="BB344" s="281"/>
      <c r="BC344" s="281"/>
      <c r="BD344" s="281"/>
      <c r="BE344" s="281"/>
      <c r="BF344" s="281"/>
      <c r="BG344" s="281"/>
      <c r="BH344" s="281"/>
      <c r="BI344" s="281"/>
      <c r="BJ344" s="281"/>
      <c r="BK344" s="281"/>
      <c r="BL344" s="281"/>
      <c r="BM344" s="281"/>
      <c r="BN344" s="281"/>
      <c r="BO344" s="281"/>
      <c r="BP344" s="281"/>
      <c r="BQ344" s="281"/>
      <c r="BR344" s="281"/>
      <c r="BS344" s="281"/>
      <c r="BT344" s="281"/>
      <c r="BU344" s="281"/>
      <c r="BV344" s="281"/>
      <c r="BW344" s="281"/>
      <c r="BX344" s="281"/>
      <c r="BY344" s="281"/>
      <c r="BZ344" s="281"/>
    </row>
    <row r="345" spans="1:78" x14ac:dyDescent="0.2">
      <c r="A345" s="422">
        <v>113</v>
      </c>
      <c r="B345" s="716" t="str">
        <f>IF(Stammblatt!$L$4=1,'Kalkulation Herstellungskosten'!AP345,'Kalkulation Herstellungskosten'!AQ345)</f>
        <v>Stunts, Pyrotechnik und SFX</v>
      </c>
      <c r="C345" s="424"/>
      <c r="D345" s="425"/>
      <c r="E345" s="426"/>
      <c r="F345" s="426"/>
      <c r="G345" s="426">
        <f>SFX</f>
        <v>0</v>
      </c>
      <c r="H345" s="427"/>
      <c r="I345" s="428"/>
      <c r="J345" s="460"/>
      <c r="K345" s="461"/>
      <c r="L345" s="461"/>
      <c r="M345" s="461"/>
      <c r="N345" s="462"/>
      <c r="O345" s="749"/>
      <c r="P345" s="742"/>
      <c r="Q345" s="743"/>
      <c r="R345" s="741"/>
      <c r="S345" s="751"/>
      <c r="T345" s="758"/>
      <c r="U345" s="741"/>
      <c r="V345" s="808">
        <f t="shared" si="147"/>
        <v>0</v>
      </c>
      <c r="W345" s="808">
        <f t="shared" si="148"/>
        <v>0</v>
      </c>
      <c r="X345" s="749"/>
      <c r="Y345" s="744"/>
      <c r="Z345" s="743"/>
      <c r="AA345" s="741"/>
      <c r="AB345" s="391"/>
      <c r="AC345" s="401"/>
      <c r="AD345" s="92"/>
      <c r="AE345" s="92"/>
      <c r="AF345" s="92"/>
      <c r="AG345" s="561">
        <f t="shared" si="149"/>
        <v>0</v>
      </c>
      <c r="AH345" s="405"/>
      <c r="AI345" s="405"/>
      <c r="AJ345" s="405"/>
      <c r="AK345" s="405"/>
      <c r="AL345" s="405"/>
      <c r="AM345" s="405"/>
      <c r="AN345" s="405"/>
      <c r="AO345" s="405"/>
      <c r="AP345" s="258" t="s">
        <v>228</v>
      </c>
      <c r="AQ345" s="258" t="s">
        <v>400</v>
      </c>
      <c r="AR345" s="281"/>
      <c r="AS345" s="281"/>
      <c r="AT345" s="281"/>
      <c r="AU345" s="281"/>
      <c r="AV345" s="281"/>
      <c r="AW345" s="281"/>
      <c r="AX345" s="281"/>
      <c r="AY345" s="281"/>
      <c r="AZ345" s="281"/>
      <c r="BA345" s="281"/>
      <c r="BB345" s="281"/>
      <c r="BC345" s="281"/>
      <c r="BD345" s="281"/>
      <c r="BE345" s="281"/>
      <c r="BF345" s="281"/>
      <c r="BG345" s="281"/>
      <c r="BH345" s="281"/>
      <c r="BI345" s="281"/>
      <c r="BJ345" s="281"/>
      <c r="BK345" s="281"/>
      <c r="BL345" s="281"/>
      <c r="BM345" s="281"/>
      <c r="BN345" s="281"/>
      <c r="BO345" s="281"/>
      <c r="BP345" s="281"/>
      <c r="BQ345" s="281"/>
      <c r="BR345" s="281"/>
      <c r="BS345" s="281"/>
      <c r="BT345" s="281"/>
      <c r="BU345" s="281"/>
      <c r="BV345" s="281"/>
      <c r="BW345" s="281"/>
      <c r="BX345" s="281"/>
      <c r="BY345" s="281"/>
      <c r="BZ345" s="281"/>
    </row>
    <row r="346" spans="1:78" x14ac:dyDescent="0.2">
      <c r="A346" s="422">
        <v>114</v>
      </c>
      <c r="B346" s="716" t="str">
        <f>IF(Stammblatt!$L$4=1,'Kalkulation Herstellungskosten'!AP346,'Kalkulation Herstellungskosten'!AQ346)</f>
        <v>Sonstiges *)</v>
      </c>
      <c r="C346" s="424"/>
      <c r="D346" s="425"/>
      <c r="E346" s="426"/>
      <c r="F346" s="426"/>
      <c r="G346" s="37">
        <v>0</v>
      </c>
      <c r="H346" s="427"/>
      <c r="I346" s="428"/>
      <c r="J346" s="460"/>
      <c r="K346" s="461"/>
      <c r="L346" s="461"/>
      <c r="M346" s="461"/>
      <c r="N346" s="462"/>
      <c r="O346" s="749"/>
      <c r="P346" s="742"/>
      <c r="Q346" s="743"/>
      <c r="R346" s="741"/>
      <c r="S346" s="751"/>
      <c r="T346" s="758"/>
      <c r="U346" s="741"/>
      <c r="V346" s="808">
        <f t="shared" si="147"/>
        <v>0</v>
      </c>
      <c r="W346" s="808">
        <f t="shared" si="148"/>
        <v>0</v>
      </c>
      <c r="X346" s="749"/>
      <c r="Y346" s="744"/>
      <c r="Z346" s="743"/>
      <c r="AA346" s="741"/>
      <c r="AB346" s="391"/>
      <c r="AC346" s="401"/>
      <c r="AD346" s="92"/>
      <c r="AE346" s="92"/>
      <c r="AF346" s="92"/>
      <c r="AG346" s="561">
        <f t="shared" si="149"/>
        <v>0</v>
      </c>
      <c r="AH346" s="405"/>
      <c r="AI346" s="405"/>
      <c r="AJ346" s="405"/>
      <c r="AK346" s="405"/>
      <c r="AL346" s="405"/>
      <c r="AM346" s="405"/>
      <c r="AN346" s="405"/>
      <c r="AO346" s="405"/>
      <c r="AP346" s="258" t="s">
        <v>41</v>
      </c>
      <c r="AQ346" s="258" t="s">
        <v>380</v>
      </c>
      <c r="AR346" s="281"/>
      <c r="AS346" s="281"/>
      <c r="AT346" s="281"/>
      <c r="AU346" s="281"/>
      <c r="AV346" s="281"/>
      <c r="AW346" s="281"/>
      <c r="AX346" s="281"/>
      <c r="AY346" s="281"/>
      <c r="AZ346" s="281"/>
      <c r="BA346" s="281"/>
      <c r="BB346" s="281"/>
      <c r="BC346" s="281"/>
      <c r="BD346" s="281"/>
      <c r="BE346" s="281"/>
      <c r="BF346" s="281"/>
      <c r="BG346" s="281"/>
      <c r="BH346" s="281"/>
      <c r="BI346" s="281"/>
      <c r="BJ346" s="281"/>
      <c r="BK346" s="281"/>
      <c r="BL346" s="281"/>
      <c r="BM346" s="281"/>
      <c r="BN346" s="281"/>
      <c r="BO346" s="281"/>
      <c r="BP346" s="281"/>
      <c r="BQ346" s="281"/>
      <c r="BR346" s="281"/>
      <c r="BS346" s="281"/>
      <c r="BT346" s="281"/>
      <c r="BU346" s="281"/>
      <c r="BV346" s="281"/>
      <c r="BW346" s="281"/>
      <c r="BX346" s="281"/>
      <c r="BY346" s="281"/>
      <c r="BZ346" s="281"/>
    </row>
    <row r="347" spans="1:78" x14ac:dyDescent="0.2">
      <c r="A347" s="398"/>
      <c r="B347" s="286"/>
      <c r="C347" s="399"/>
      <c r="D347" s="391"/>
      <c r="E347" s="400"/>
      <c r="F347" s="400"/>
      <c r="G347" s="400"/>
      <c r="H347" s="431"/>
      <c r="I347" s="394"/>
      <c r="J347" s="432"/>
      <c r="K347" s="431"/>
      <c r="L347" s="431"/>
      <c r="M347" s="431"/>
      <c r="N347" s="433"/>
      <c r="O347" s="745"/>
      <c r="P347" s="745"/>
      <c r="Q347" s="745"/>
      <c r="R347" s="745"/>
      <c r="S347" s="751"/>
      <c r="T347" s="746"/>
      <c r="U347" s="435"/>
      <c r="V347" s="435"/>
      <c r="W347" s="435"/>
      <c r="X347" s="745"/>
      <c r="Y347" s="745"/>
      <c r="Z347" s="745"/>
      <c r="AA347" s="745"/>
      <c r="AB347" s="391"/>
      <c r="AC347" s="401"/>
      <c r="AD347" s="400"/>
      <c r="AE347" s="400"/>
      <c r="AF347" s="400"/>
      <c r="AG347" s="281"/>
      <c r="AH347" s="405"/>
      <c r="AI347" s="405"/>
      <c r="AJ347" s="405"/>
      <c r="AK347" s="405"/>
      <c r="AL347" s="405"/>
      <c r="AM347" s="405"/>
      <c r="AN347" s="405"/>
      <c r="AO347" s="405"/>
      <c r="AP347" s="258"/>
      <c r="AQ347" s="258"/>
      <c r="AR347" s="281"/>
      <c r="AS347" s="281"/>
      <c r="AT347" s="281"/>
      <c r="AU347" s="281"/>
      <c r="AV347" s="281"/>
      <c r="AW347" s="281"/>
      <c r="AX347" s="281"/>
      <c r="AY347" s="281"/>
      <c r="AZ347" s="281"/>
      <c r="BA347" s="281"/>
      <c r="BB347" s="281"/>
      <c r="BC347" s="281"/>
      <c r="BD347" s="281"/>
      <c r="BE347" s="281"/>
      <c r="BF347" s="281"/>
      <c r="BG347" s="281"/>
      <c r="BH347" s="281"/>
      <c r="BI347" s="281"/>
      <c r="BJ347" s="281"/>
      <c r="BK347" s="281"/>
      <c r="BL347" s="281"/>
      <c r="BM347" s="281"/>
      <c r="BN347" s="281"/>
      <c r="BO347" s="281"/>
      <c r="BP347" s="281"/>
      <c r="BQ347" s="281"/>
      <c r="BR347" s="281"/>
      <c r="BS347" s="281"/>
      <c r="BT347" s="281"/>
      <c r="BU347" s="281"/>
      <c r="BV347" s="281"/>
      <c r="BW347" s="281"/>
      <c r="BX347" s="281"/>
      <c r="BY347" s="281"/>
      <c r="BZ347" s="281"/>
    </row>
    <row r="348" spans="1:78" x14ac:dyDescent="0.2">
      <c r="A348" s="112"/>
      <c r="B348" s="65" t="str">
        <f>IF(Stammblatt!$L$4=1,'Kalkulation Herstellungskosten'!AP348,'Kalkulation Herstellungskosten'!AQ348)</f>
        <v>Σ-Ausstattung</v>
      </c>
      <c r="C348" s="31"/>
      <c r="D348" s="40"/>
      <c r="E348" s="39"/>
      <c r="F348" s="39"/>
      <c r="G348" s="39">
        <f>SUM(G336:G347)</f>
        <v>0</v>
      </c>
      <c r="H348" s="39"/>
      <c r="I348" s="135"/>
      <c r="J348" s="143"/>
      <c r="K348" s="39"/>
      <c r="L348" s="39"/>
      <c r="M348" s="39"/>
      <c r="N348" s="141"/>
      <c r="O348" s="113">
        <f>SUM(O336:O347)</f>
        <v>0</v>
      </c>
      <c r="P348" s="747">
        <f>SUM(P336:P347)</f>
        <v>0</v>
      </c>
      <c r="Q348" s="113">
        <f t="shared" ref="Q348:R348" si="150">SUM(Q336:Q347)</f>
        <v>0</v>
      </c>
      <c r="R348" s="113">
        <f t="shared" si="150"/>
        <v>0</v>
      </c>
      <c r="S348" s="751"/>
      <c r="T348" s="748">
        <f>SUM(T336:T347)</f>
        <v>0</v>
      </c>
      <c r="U348" s="113">
        <f>SUM(U336:U347)</f>
        <v>0</v>
      </c>
      <c r="V348" s="113">
        <f>SUM(V336:V347)</f>
        <v>0</v>
      </c>
      <c r="W348" s="113">
        <f>ZS_6_Austattung-V348</f>
        <v>0</v>
      </c>
      <c r="X348" s="747">
        <f>SUM(X336:X347)</f>
        <v>0</v>
      </c>
      <c r="Y348" s="747">
        <f>SUM(Y336:Y347)</f>
        <v>0</v>
      </c>
      <c r="Z348" s="113">
        <f t="shared" ref="Z348:AA348" si="151">SUM(Z336:Z347)</f>
        <v>0</v>
      </c>
      <c r="AA348" s="113">
        <f t="shared" si="151"/>
        <v>0</v>
      </c>
      <c r="AB348" s="391"/>
      <c r="AC348" s="401"/>
      <c r="AD348" s="104">
        <f>SUM(AD336:AD347)</f>
        <v>0</v>
      </c>
      <c r="AE348" s="104">
        <f>SUM(AE336:AE347)</f>
        <v>0</v>
      </c>
      <c r="AF348" s="104">
        <f>SUM(AF336:AF347)</f>
        <v>0</v>
      </c>
      <c r="AG348" s="39">
        <f>SUM(G348,AD348:AF348)</f>
        <v>0</v>
      </c>
      <c r="AH348" s="405"/>
      <c r="AI348" s="405"/>
      <c r="AJ348" s="405"/>
      <c r="AK348" s="405"/>
      <c r="AL348" s="405"/>
      <c r="AM348" s="405"/>
      <c r="AN348" s="405"/>
      <c r="AO348" s="405"/>
      <c r="AP348" s="258" t="s">
        <v>239</v>
      </c>
      <c r="AQ348" s="258" t="s">
        <v>497</v>
      </c>
      <c r="AR348" s="281"/>
      <c r="AS348" s="281"/>
      <c r="AT348" s="281"/>
      <c r="AU348" s="281"/>
      <c r="AV348" s="281"/>
      <c r="AW348" s="281"/>
      <c r="AX348" s="281"/>
      <c r="AY348" s="281"/>
      <c r="AZ348" s="281"/>
      <c r="BA348" s="281"/>
      <c r="BB348" s="281"/>
      <c r="BC348" s="281"/>
      <c r="BD348" s="281"/>
      <c r="BE348" s="281"/>
      <c r="BF348" s="281"/>
      <c r="BG348" s="281"/>
      <c r="BH348" s="281"/>
      <c r="BI348" s="281"/>
      <c r="BJ348" s="281"/>
      <c r="BK348" s="281"/>
      <c r="BL348" s="281"/>
      <c r="BM348" s="281"/>
      <c r="BN348" s="281"/>
      <c r="BO348" s="281"/>
      <c r="BP348" s="281"/>
      <c r="BQ348" s="281"/>
      <c r="BR348" s="281"/>
      <c r="BS348" s="281"/>
      <c r="BT348" s="281"/>
      <c r="BU348" s="281"/>
      <c r="BV348" s="281"/>
      <c r="BW348" s="281"/>
      <c r="BX348" s="281"/>
      <c r="BY348" s="281"/>
      <c r="BZ348" s="281"/>
    </row>
    <row r="349" spans="1:78" x14ac:dyDescent="0.2">
      <c r="A349" s="398"/>
      <c r="B349" s="286"/>
      <c r="C349" s="399"/>
      <c r="D349" s="391"/>
      <c r="E349" s="400"/>
      <c r="F349" s="400"/>
      <c r="G349" s="400"/>
      <c r="H349" s="431"/>
      <c r="I349" s="394"/>
      <c r="J349" s="432"/>
      <c r="K349" s="431"/>
      <c r="L349" s="431"/>
      <c r="M349" s="431"/>
      <c r="N349" s="433"/>
      <c r="O349" s="745"/>
      <c r="P349" s="745"/>
      <c r="Q349" s="745"/>
      <c r="R349" s="745"/>
      <c r="S349" s="751"/>
      <c r="T349" s="746"/>
      <c r="U349" s="435"/>
      <c r="V349" s="435"/>
      <c r="W349" s="435"/>
      <c r="X349" s="435"/>
      <c r="Y349" s="745"/>
      <c r="Z349" s="745"/>
      <c r="AA349" s="745"/>
      <c r="AB349" s="391"/>
      <c r="AC349" s="401"/>
      <c r="AD349" s="400"/>
      <c r="AE349" s="400"/>
      <c r="AF349" s="400"/>
      <c r="AG349" s="281"/>
      <c r="AH349" s="405"/>
      <c r="AI349" s="405"/>
      <c r="AJ349" s="405"/>
      <c r="AK349" s="405"/>
      <c r="AL349" s="405"/>
      <c r="AM349" s="405"/>
      <c r="AN349" s="405"/>
      <c r="AO349" s="405"/>
      <c r="AP349" s="258"/>
      <c r="AQ349" s="258"/>
      <c r="AR349" s="281"/>
      <c r="AS349" s="281"/>
      <c r="AT349" s="281"/>
      <c r="AU349" s="281"/>
      <c r="AV349" s="281"/>
      <c r="AW349" s="281"/>
      <c r="AX349" s="281"/>
      <c r="AY349" s="281"/>
      <c r="AZ349" s="281"/>
      <c r="BA349" s="281"/>
      <c r="BB349" s="281"/>
      <c r="BC349" s="281"/>
      <c r="BD349" s="281"/>
      <c r="BE349" s="281"/>
      <c r="BF349" s="281"/>
      <c r="BG349" s="281"/>
      <c r="BH349" s="281"/>
      <c r="BI349" s="281"/>
      <c r="BJ349" s="281"/>
      <c r="BK349" s="281"/>
      <c r="BL349" s="281"/>
      <c r="BM349" s="281"/>
      <c r="BN349" s="281"/>
      <c r="BO349" s="281"/>
      <c r="BP349" s="281"/>
      <c r="BQ349" s="281"/>
      <c r="BR349" s="281"/>
      <c r="BS349" s="281"/>
      <c r="BT349" s="281"/>
      <c r="BU349" s="281"/>
      <c r="BV349" s="281"/>
      <c r="BW349" s="281"/>
      <c r="BX349" s="281"/>
      <c r="BY349" s="281"/>
      <c r="BZ349" s="281"/>
    </row>
    <row r="350" spans="1:78" x14ac:dyDescent="0.2">
      <c r="A350" s="398"/>
      <c r="B350" s="286"/>
      <c r="C350" s="399"/>
      <c r="D350" s="391"/>
      <c r="E350" s="400"/>
      <c r="F350" s="400"/>
      <c r="G350" s="400"/>
      <c r="H350" s="431"/>
      <c r="I350" s="394"/>
      <c r="J350" s="432"/>
      <c r="K350" s="431"/>
      <c r="L350" s="431"/>
      <c r="M350" s="431"/>
      <c r="N350" s="433"/>
      <c r="O350" s="745"/>
      <c r="P350" s="745"/>
      <c r="Q350" s="745"/>
      <c r="R350" s="745"/>
      <c r="S350" s="751"/>
      <c r="T350" s="746"/>
      <c r="U350" s="435"/>
      <c r="V350" s="435"/>
      <c r="W350" s="435"/>
      <c r="X350" s="435"/>
      <c r="Y350" s="745"/>
      <c r="Z350" s="745"/>
      <c r="AA350" s="745"/>
      <c r="AB350" s="391"/>
      <c r="AC350" s="401"/>
      <c r="AD350" s="400"/>
      <c r="AE350" s="400"/>
      <c r="AF350" s="400"/>
      <c r="AG350" s="281"/>
      <c r="AH350" s="405"/>
      <c r="AI350" s="405"/>
      <c r="AJ350" s="405"/>
      <c r="AK350" s="405"/>
      <c r="AL350" s="405"/>
      <c r="AM350" s="405"/>
      <c r="AN350" s="405"/>
      <c r="AO350" s="405"/>
      <c r="AP350" s="258"/>
      <c r="AQ350" s="258"/>
      <c r="AR350" s="281"/>
      <c r="AS350" s="281"/>
      <c r="AT350" s="281"/>
      <c r="AU350" s="281"/>
      <c r="AV350" s="281"/>
      <c r="AW350" s="281"/>
      <c r="AX350" s="281"/>
      <c r="AY350" s="281"/>
      <c r="AZ350" s="281"/>
      <c r="BA350" s="281"/>
      <c r="BB350" s="281"/>
      <c r="BC350" s="281"/>
      <c r="BD350" s="281"/>
      <c r="BE350" s="281"/>
      <c r="BF350" s="281"/>
      <c r="BG350" s="281"/>
      <c r="BH350" s="281"/>
      <c r="BI350" s="281"/>
      <c r="BJ350" s="281"/>
      <c r="BK350" s="281"/>
      <c r="BL350" s="281"/>
      <c r="BM350" s="281"/>
      <c r="BN350" s="281"/>
      <c r="BO350" s="281"/>
      <c r="BP350" s="281"/>
      <c r="BQ350" s="281"/>
      <c r="BR350" s="281"/>
      <c r="BS350" s="281"/>
      <c r="BT350" s="281"/>
      <c r="BU350" s="281"/>
      <c r="BV350" s="281"/>
      <c r="BW350" s="281"/>
      <c r="BX350" s="281"/>
      <c r="BY350" s="281"/>
      <c r="BZ350" s="281"/>
    </row>
    <row r="351" spans="1:78" s="25" customFormat="1" x14ac:dyDescent="0.2">
      <c r="A351" s="406"/>
      <c r="B351" s="296" t="str">
        <f>IF(Stammblatt!$L$4=1,'Kalkulation Herstellungskosten'!AP351,'Kalkulation Herstellungskosten'!AQ351)</f>
        <v>7. Schnitt, Sync, Mischung</v>
      </c>
      <c r="C351" s="436" t="str">
        <f>IF(Stammblatt!$L$4=1,"Wochen","weeks")</f>
        <v>Wochen</v>
      </c>
      <c r="D351" s="436" t="s">
        <v>626</v>
      </c>
      <c r="E351" s="408"/>
      <c r="F351" s="408"/>
      <c r="G351" s="408"/>
      <c r="H351" s="401"/>
      <c r="I351" s="402"/>
      <c r="J351" s="409"/>
      <c r="K351" s="401"/>
      <c r="L351" s="401"/>
      <c r="M351" s="401"/>
      <c r="N351" s="410"/>
      <c r="O351" s="737"/>
      <c r="P351" s="737"/>
      <c r="Q351" s="737"/>
      <c r="R351" s="737"/>
      <c r="S351" s="751"/>
      <c r="T351" s="740"/>
      <c r="U351" s="441"/>
      <c r="V351" s="441"/>
      <c r="W351" s="441"/>
      <c r="X351" s="441"/>
      <c r="Y351" s="737"/>
      <c r="Z351" s="737"/>
      <c r="AA351" s="737"/>
      <c r="AB351" s="391"/>
      <c r="AC351" s="401"/>
      <c r="AD351" s="408"/>
      <c r="AE351" s="408"/>
      <c r="AF351" s="408"/>
      <c r="AG351" s="411"/>
      <c r="AH351" s="405"/>
      <c r="AI351" s="405"/>
      <c r="AJ351" s="405"/>
      <c r="AK351" s="405"/>
      <c r="AL351" s="405"/>
      <c r="AM351" s="405"/>
      <c r="AN351" s="405"/>
      <c r="AO351" s="405"/>
      <c r="AP351" s="258" t="s">
        <v>730</v>
      </c>
      <c r="AQ351" s="258" t="s">
        <v>445</v>
      </c>
      <c r="AR351" s="411"/>
      <c r="AS351" s="411"/>
      <c r="AT351" s="411"/>
      <c r="AU351" s="411"/>
      <c r="AV351" s="411"/>
      <c r="AW351" s="411"/>
      <c r="AX351" s="411"/>
      <c r="AY351" s="411"/>
      <c r="AZ351" s="411"/>
      <c r="BA351" s="411"/>
      <c r="BB351" s="411"/>
      <c r="BC351" s="411"/>
      <c r="BD351" s="411"/>
      <c r="BE351" s="411"/>
      <c r="BF351" s="411"/>
      <c r="BG351" s="411"/>
      <c r="BH351" s="411"/>
      <c r="BI351" s="411"/>
      <c r="BJ351" s="411"/>
      <c r="BK351" s="411"/>
      <c r="BL351" s="411"/>
      <c r="BM351" s="411"/>
      <c r="BN351" s="411"/>
      <c r="BO351" s="411"/>
      <c r="BP351" s="411"/>
      <c r="BQ351" s="411"/>
      <c r="BR351" s="411"/>
      <c r="BS351" s="411"/>
      <c r="BT351" s="411"/>
      <c r="BU351" s="411"/>
      <c r="BV351" s="411"/>
      <c r="BW351" s="411"/>
      <c r="BX351" s="411"/>
      <c r="BY351" s="411"/>
      <c r="BZ351" s="411"/>
    </row>
    <row r="352" spans="1:78" x14ac:dyDescent="0.2">
      <c r="A352" s="422">
        <v>115</v>
      </c>
      <c r="B352" s="423" t="str">
        <f>IF(Stammblatt!$L$4=1,'Kalkulation Herstellungskosten'!AP352,'Kalkulation Herstellungskosten'!AQ352)</f>
        <v>Schneideraum (z.B. Steenbeck)</v>
      </c>
      <c r="C352" s="33">
        <v>0</v>
      </c>
      <c r="D352" s="425"/>
      <c r="E352" s="37">
        <v>0</v>
      </c>
      <c r="F352" s="426"/>
      <c r="G352" s="426">
        <f>C352*E352</f>
        <v>0</v>
      </c>
      <c r="H352" s="427"/>
      <c r="I352" s="428"/>
      <c r="J352" s="429"/>
      <c r="K352" s="427"/>
      <c r="L352" s="427"/>
      <c r="M352" s="427"/>
      <c r="N352" s="430"/>
      <c r="O352" s="749"/>
      <c r="P352" s="742"/>
      <c r="Q352" s="743"/>
      <c r="R352" s="741"/>
      <c r="S352" s="751"/>
      <c r="T352" s="758"/>
      <c r="U352" s="741"/>
      <c r="V352" s="808">
        <f>SUM(T352:U352)</f>
        <v>0</v>
      </c>
      <c r="W352" s="808">
        <f>G352-V352</f>
        <v>0</v>
      </c>
      <c r="X352" s="749"/>
      <c r="Y352" s="744"/>
      <c r="Z352" s="743"/>
      <c r="AA352" s="741"/>
      <c r="AB352" s="391"/>
      <c r="AC352" s="401"/>
      <c r="AD352" s="92"/>
      <c r="AE352" s="92"/>
      <c r="AF352" s="92"/>
      <c r="AG352" s="561">
        <f>SUM(G352,AD352:AF352)</f>
        <v>0</v>
      </c>
      <c r="AH352" s="405"/>
      <c r="AI352" s="405"/>
      <c r="AJ352" s="405"/>
      <c r="AK352" s="405"/>
      <c r="AL352" s="405"/>
      <c r="AM352" s="405"/>
      <c r="AN352" s="405"/>
      <c r="AO352" s="405"/>
      <c r="AP352" s="258" t="s">
        <v>222</v>
      </c>
      <c r="AQ352" s="258" t="s">
        <v>401</v>
      </c>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row>
    <row r="353" spans="1:78" x14ac:dyDescent="0.2">
      <c r="A353" s="422">
        <v>116</v>
      </c>
      <c r="B353" s="423" t="str">
        <f>IF(Stammblatt!$L$4=1,'Kalkulation Herstellungskosten'!AP353,'Kalkulation Herstellungskosten'!AQ353)</f>
        <v>Digitaler Bildschnitt (z.B. AVID)</v>
      </c>
      <c r="C353" s="33">
        <v>0</v>
      </c>
      <c r="D353" s="425"/>
      <c r="E353" s="37">
        <v>0</v>
      </c>
      <c r="F353" s="426"/>
      <c r="G353" s="426">
        <f>C353*E353</f>
        <v>0</v>
      </c>
      <c r="H353" s="427"/>
      <c r="I353" s="428"/>
      <c r="J353" s="460"/>
      <c r="K353" s="461"/>
      <c r="L353" s="461"/>
      <c r="M353" s="461"/>
      <c r="N353" s="462"/>
      <c r="O353" s="749"/>
      <c r="P353" s="742"/>
      <c r="Q353" s="743"/>
      <c r="R353" s="741"/>
      <c r="S353" s="751"/>
      <c r="T353" s="758"/>
      <c r="U353" s="741"/>
      <c r="V353" s="808">
        <f>SUM(T353:U353)</f>
        <v>0</v>
      </c>
      <c r="W353" s="808">
        <f>G353-V353</f>
        <v>0</v>
      </c>
      <c r="X353" s="749"/>
      <c r="Y353" s="744"/>
      <c r="Z353" s="743"/>
      <c r="AA353" s="741"/>
      <c r="AB353" s="391"/>
      <c r="AC353" s="401"/>
      <c r="AD353" s="92"/>
      <c r="AE353" s="92"/>
      <c r="AF353" s="92"/>
      <c r="AG353" s="561">
        <f>SUM(G353,AD353:AF353)</f>
        <v>0</v>
      </c>
      <c r="AH353" s="405"/>
      <c r="AI353" s="405"/>
      <c r="AJ353" s="414" t="b">
        <v>0</v>
      </c>
      <c r="AK353" s="414"/>
      <c r="AL353" s="414"/>
      <c r="AM353" s="414"/>
      <c r="AN353" s="414"/>
      <c r="AO353" s="414"/>
      <c r="AP353" s="258" t="s">
        <v>223</v>
      </c>
      <c r="AQ353" s="258" t="s">
        <v>404</v>
      </c>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c r="BM353" s="281"/>
      <c r="BN353" s="281"/>
      <c r="BO353" s="281"/>
      <c r="BP353" s="281"/>
      <c r="BQ353" s="281"/>
      <c r="BR353" s="281"/>
      <c r="BS353" s="281"/>
      <c r="BT353" s="281"/>
      <c r="BU353" s="281"/>
      <c r="BV353" s="281"/>
      <c r="BW353" s="281"/>
      <c r="BX353" s="281"/>
      <c r="BY353" s="281"/>
      <c r="BZ353" s="281"/>
    </row>
    <row r="354" spans="1:78" x14ac:dyDescent="0.2">
      <c r="A354" s="422">
        <v>117</v>
      </c>
      <c r="B354" s="423" t="str">
        <f>IF(Stammblatt!$L$4=1,'Kalkulation Herstellungskosten'!AP354,'Kalkulation Herstellungskosten'!AQ354)</f>
        <v>Digitaler Tonschnitt (z.B. AUDIOVISION)</v>
      </c>
      <c r="C354" s="33">
        <v>0</v>
      </c>
      <c r="D354" s="425"/>
      <c r="E354" s="37">
        <v>0</v>
      </c>
      <c r="F354" s="426"/>
      <c r="G354" s="426">
        <f>C354*E354</f>
        <v>0</v>
      </c>
      <c r="H354" s="427"/>
      <c r="I354" s="428"/>
      <c r="J354" s="460"/>
      <c r="K354" s="461"/>
      <c r="L354" s="461"/>
      <c r="M354" s="461"/>
      <c r="N354" s="462"/>
      <c r="O354" s="749"/>
      <c r="P354" s="742"/>
      <c r="Q354" s="743"/>
      <c r="R354" s="741"/>
      <c r="S354" s="751"/>
      <c r="T354" s="758"/>
      <c r="U354" s="741"/>
      <c r="V354" s="808">
        <f>SUM(T354:U354)</f>
        <v>0</v>
      </c>
      <c r="W354" s="808">
        <f>G354-V354</f>
        <v>0</v>
      </c>
      <c r="X354" s="749"/>
      <c r="Y354" s="744"/>
      <c r="Z354" s="743"/>
      <c r="AA354" s="741"/>
      <c r="AB354" s="391"/>
      <c r="AC354" s="401"/>
      <c r="AD354" s="92"/>
      <c r="AE354" s="92"/>
      <c r="AF354" s="92"/>
      <c r="AG354" s="561">
        <f>SUM(G354,AD354:AF354)</f>
        <v>0</v>
      </c>
      <c r="AH354" s="405"/>
      <c r="AI354" s="405"/>
      <c r="AJ354" s="414" t="b">
        <v>0</v>
      </c>
      <c r="AK354" s="414"/>
      <c r="AL354" s="414"/>
      <c r="AM354" s="414"/>
      <c r="AN354" s="414"/>
      <c r="AO354" s="414"/>
      <c r="AP354" s="258" t="s">
        <v>224</v>
      </c>
      <c r="AQ354" s="258" t="s">
        <v>405</v>
      </c>
      <c r="AR354" s="281"/>
      <c r="AS354" s="281"/>
      <c r="AT354" s="281"/>
      <c r="AU354" s="281"/>
      <c r="AV354" s="281"/>
      <c r="AW354" s="281"/>
      <c r="AX354" s="281"/>
      <c r="AY354" s="281"/>
      <c r="AZ354" s="281"/>
      <c r="BA354" s="281"/>
      <c r="BB354" s="281"/>
      <c r="BC354" s="281"/>
      <c r="BD354" s="281"/>
      <c r="BE354" s="281"/>
      <c r="BF354" s="281"/>
      <c r="BG354" s="281"/>
      <c r="BH354" s="281"/>
      <c r="BI354" s="281"/>
      <c r="BJ354" s="281"/>
      <c r="BK354" s="281"/>
      <c r="BL354" s="281"/>
      <c r="BM354" s="281"/>
      <c r="BN354" s="281"/>
      <c r="BO354" s="281"/>
      <c r="BP354" s="281"/>
      <c r="BQ354" s="281"/>
      <c r="BR354" s="281"/>
      <c r="BS354" s="281"/>
      <c r="BT354" s="281"/>
      <c r="BU354" s="281"/>
      <c r="BV354" s="281"/>
      <c r="BW354" s="281"/>
      <c r="BX354" s="281"/>
      <c r="BY354" s="281"/>
      <c r="BZ354" s="281"/>
    </row>
    <row r="355" spans="1:78" x14ac:dyDescent="0.2">
      <c r="A355" s="422"/>
      <c r="B355" s="423"/>
      <c r="C355" s="436" t="str">
        <f>IF(Stammblatt!$L$4=1,"Stunden","hours")</f>
        <v>Stunden</v>
      </c>
      <c r="D355" s="423"/>
      <c r="E355" s="423"/>
      <c r="F355" s="423"/>
      <c r="G355" s="423"/>
      <c r="H355" s="427"/>
      <c r="I355" s="428"/>
      <c r="J355" s="460"/>
      <c r="K355" s="461"/>
      <c r="L355" s="461"/>
      <c r="M355" s="461"/>
      <c r="N355" s="462"/>
      <c r="O355" s="749"/>
      <c r="P355" s="742"/>
      <c r="Q355" s="743"/>
      <c r="R355" s="741"/>
      <c r="S355" s="751"/>
      <c r="T355" s="758"/>
      <c r="U355" s="741"/>
      <c r="V355" s="808"/>
      <c r="W355" s="808"/>
      <c r="X355" s="749"/>
      <c r="Y355" s="744"/>
      <c r="Z355" s="743"/>
      <c r="AA355" s="741"/>
      <c r="AB355" s="391"/>
      <c r="AC355" s="401"/>
      <c r="AD355" s="92"/>
      <c r="AE355" s="92"/>
      <c r="AF355" s="92"/>
      <c r="AG355" s="561"/>
      <c r="AH355" s="405"/>
      <c r="AI355" s="405"/>
      <c r="AJ355" s="405"/>
      <c r="AK355" s="405"/>
      <c r="AL355" s="405"/>
      <c r="AM355" s="405"/>
      <c r="AN355" s="405"/>
      <c r="AO355" s="405"/>
      <c r="AP355" s="258"/>
      <c r="AQ355" s="258"/>
      <c r="AR355" s="281"/>
      <c r="AS355" s="281"/>
      <c r="AT355" s="281"/>
      <c r="AU355" s="281"/>
      <c r="AV355" s="281"/>
      <c r="AW355" s="281"/>
      <c r="AX355" s="281"/>
      <c r="AY355" s="281"/>
      <c r="AZ355" s="281"/>
      <c r="BA355" s="281"/>
      <c r="BB355" s="281"/>
      <c r="BC355" s="281"/>
      <c r="BD355" s="281"/>
      <c r="BE355" s="281"/>
      <c r="BF355" s="281"/>
      <c r="BG355" s="281"/>
      <c r="BH355" s="281"/>
      <c r="BI355" s="281"/>
      <c r="BJ355" s="281"/>
      <c r="BK355" s="281"/>
      <c r="BL355" s="281"/>
      <c r="BM355" s="281"/>
      <c r="BN355" s="281"/>
      <c r="BO355" s="281"/>
      <c r="BP355" s="281"/>
      <c r="BQ355" s="281"/>
      <c r="BR355" s="281"/>
      <c r="BS355" s="281"/>
      <c r="BT355" s="281"/>
      <c r="BU355" s="281"/>
      <c r="BV355" s="281"/>
      <c r="BW355" s="281"/>
      <c r="BX355" s="281"/>
      <c r="BY355" s="281"/>
      <c r="BZ355" s="281"/>
    </row>
    <row r="356" spans="1:78" x14ac:dyDescent="0.2">
      <c r="A356" s="422">
        <v>118</v>
      </c>
      <c r="B356" s="423" t="str">
        <f>IF(Stammblatt!$L$4=1,'Kalkulation Herstellungskosten'!AP356,'Kalkulation Herstellungskosten'!AQ356)</f>
        <v>Vorführraum</v>
      </c>
      <c r="C356" s="33">
        <v>0</v>
      </c>
      <c r="D356" s="467"/>
      <c r="E356" s="37">
        <v>0</v>
      </c>
      <c r="F356" s="426"/>
      <c r="G356" s="426">
        <f>C356*E356</f>
        <v>0</v>
      </c>
      <c r="H356" s="427"/>
      <c r="I356" s="428"/>
      <c r="J356" s="460"/>
      <c r="K356" s="461"/>
      <c r="L356" s="461"/>
      <c r="M356" s="461"/>
      <c r="N356" s="462"/>
      <c r="O356" s="749"/>
      <c r="P356" s="742"/>
      <c r="Q356" s="743"/>
      <c r="R356" s="741"/>
      <c r="S356" s="751"/>
      <c r="T356" s="758"/>
      <c r="U356" s="741"/>
      <c r="V356" s="808">
        <f>SUM(T356:U356)</f>
        <v>0</v>
      </c>
      <c r="W356" s="808">
        <f>G356-V356</f>
        <v>0</v>
      </c>
      <c r="X356" s="749"/>
      <c r="Y356" s="744"/>
      <c r="Z356" s="743"/>
      <c r="AA356" s="741"/>
      <c r="AB356" s="391"/>
      <c r="AC356" s="401"/>
      <c r="AD356" s="92"/>
      <c r="AE356" s="92"/>
      <c r="AF356" s="92"/>
      <c r="AG356" s="561">
        <f>SUM(G356,AD356:AF356)</f>
        <v>0</v>
      </c>
      <c r="AH356" s="405"/>
      <c r="AI356" s="405"/>
      <c r="AJ356" s="414" t="b">
        <v>0</v>
      </c>
      <c r="AK356" s="414"/>
      <c r="AL356" s="414"/>
      <c r="AM356" s="414"/>
      <c r="AN356" s="414"/>
      <c r="AO356" s="414"/>
      <c r="AP356" s="258" t="s">
        <v>73</v>
      </c>
      <c r="AQ356" s="258" t="s">
        <v>402</v>
      </c>
      <c r="AR356" s="281"/>
      <c r="AS356" s="281"/>
      <c r="AT356" s="281"/>
      <c r="AU356" s="281"/>
      <c r="AV356" s="281"/>
      <c r="AW356" s="281"/>
      <c r="AX356" s="281"/>
      <c r="AY356" s="281"/>
      <c r="AZ356" s="281"/>
      <c r="BA356" s="281"/>
      <c r="BB356" s="281"/>
      <c r="BC356" s="281"/>
      <c r="BD356" s="281"/>
      <c r="BE356" s="281"/>
      <c r="BF356" s="281"/>
      <c r="BG356" s="281"/>
      <c r="BH356" s="281"/>
      <c r="BI356" s="281"/>
      <c r="BJ356" s="281"/>
      <c r="BK356" s="281"/>
      <c r="BL356" s="281"/>
      <c r="BM356" s="281"/>
      <c r="BN356" s="281"/>
      <c r="BO356" s="281"/>
      <c r="BP356" s="281"/>
      <c r="BQ356" s="281"/>
      <c r="BR356" s="281"/>
      <c r="BS356" s="281"/>
      <c r="BT356" s="281"/>
      <c r="BU356" s="281"/>
      <c r="BV356" s="281"/>
      <c r="BW356" s="281"/>
      <c r="BX356" s="281"/>
      <c r="BY356" s="281"/>
      <c r="BZ356" s="281"/>
    </row>
    <row r="357" spans="1:78" x14ac:dyDescent="0.2">
      <c r="A357" s="398"/>
      <c r="B357" s="286"/>
      <c r="C357" s="399"/>
      <c r="D357" s="391"/>
      <c r="E357" s="400"/>
      <c r="F357" s="400"/>
      <c r="G357" s="400"/>
      <c r="H357" s="431"/>
      <c r="I357" s="394"/>
      <c r="J357" s="432"/>
      <c r="K357" s="431"/>
      <c r="L357" s="431"/>
      <c r="M357" s="431"/>
      <c r="N357" s="433"/>
      <c r="O357" s="745"/>
      <c r="P357" s="745"/>
      <c r="Q357" s="745"/>
      <c r="R357" s="745"/>
      <c r="S357" s="751"/>
      <c r="T357" s="746"/>
      <c r="U357" s="435"/>
      <c r="V357" s="809"/>
      <c r="W357" s="809"/>
      <c r="X357" s="745"/>
      <c r="Y357" s="745"/>
      <c r="Z357" s="745"/>
      <c r="AA357" s="745"/>
      <c r="AB357" s="391"/>
      <c r="AC357" s="401"/>
      <c r="AD357" s="400"/>
      <c r="AE357" s="400"/>
      <c r="AF357" s="400"/>
      <c r="AG357" s="818"/>
      <c r="AH357" s="405"/>
      <c r="AI357" s="405"/>
      <c r="AJ357" s="405"/>
      <c r="AK357" s="405"/>
      <c r="AL357" s="405"/>
      <c r="AM357" s="405"/>
      <c r="AN357" s="405"/>
      <c r="AO357" s="405"/>
      <c r="AP357" s="258"/>
      <c r="AQ357" s="258"/>
      <c r="AR357" s="281"/>
      <c r="AS357" s="281"/>
      <c r="AT357" s="281"/>
      <c r="AU357" s="281"/>
      <c r="AV357" s="281"/>
      <c r="AW357" s="281"/>
      <c r="AX357" s="281"/>
      <c r="AY357" s="281"/>
      <c r="AZ357" s="281"/>
      <c r="BA357" s="281"/>
      <c r="BB357" s="281"/>
      <c r="BC357" s="281"/>
      <c r="BD357" s="281"/>
      <c r="BE357" s="281"/>
      <c r="BF357" s="281"/>
      <c r="BG357" s="281"/>
      <c r="BH357" s="281"/>
      <c r="BI357" s="281"/>
      <c r="BJ357" s="281"/>
      <c r="BK357" s="281"/>
      <c r="BL357" s="281"/>
      <c r="BM357" s="281"/>
      <c r="BN357" s="281"/>
      <c r="BO357" s="281"/>
      <c r="BP357" s="281"/>
      <c r="BQ357" s="281"/>
      <c r="BR357" s="281"/>
      <c r="BS357" s="281"/>
      <c r="BT357" s="281"/>
      <c r="BU357" s="281"/>
      <c r="BV357" s="281"/>
      <c r="BW357" s="281"/>
      <c r="BX357" s="281"/>
      <c r="BY357" s="281"/>
      <c r="BZ357" s="281"/>
    </row>
    <row r="358" spans="1:78" x14ac:dyDescent="0.2">
      <c r="A358" s="398"/>
      <c r="B358" s="286" t="str">
        <f>IF(Stammblatt!$L$4=1,'Kalkulation Herstellungskosten'!AP358,'Kalkulation Herstellungskosten'!AQ358)</f>
        <v>Tonstudio</v>
      </c>
      <c r="C358" s="436" t="str">
        <f>IF(Stammblatt!$L$4=1,"Tage","days")</f>
        <v>Tage</v>
      </c>
      <c r="D358" s="436"/>
      <c r="E358" s="400"/>
      <c r="F358" s="400"/>
      <c r="G358" s="400"/>
      <c r="H358" s="431"/>
      <c r="I358" s="394"/>
      <c r="J358" s="460"/>
      <c r="K358" s="461"/>
      <c r="L358" s="461"/>
      <c r="M358" s="461"/>
      <c r="N358" s="462"/>
      <c r="O358" s="745"/>
      <c r="P358" s="745"/>
      <c r="Q358" s="745"/>
      <c r="R358" s="745"/>
      <c r="S358" s="751"/>
      <c r="T358" s="746"/>
      <c r="U358" s="435"/>
      <c r="V358" s="809"/>
      <c r="W358" s="809"/>
      <c r="X358" s="745"/>
      <c r="Y358" s="745"/>
      <c r="Z358" s="745"/>
      <c r="AA358" s="745"/>
      <c r="AB358" s="391"/>
      <c r="AC358" s="401"/>
      <c r="AD358" s="400"/>
      <c r="AE358" s="400"/>
      <c r="AF358" s="400"/>
      <c r="AG358" s="818"/>
      <c r="AH358" s="405"/>
      <c r="AI358" s="405"/>
      <c r="AJ358" s="405"/>
      <c r="AK358" s="405"/>
      <c r="AL358" s="405"/>
      <c r="AM358" s="405"/>
      <c r="AN358" s="405"/>
      <c r="AO358" s="405"/>
      <c r="AP358" s="258" t="s">
        <v>74</v>
      </c>
      <c r="AQ358" s="258" t="s">
        <v>403</v>
      </c>
      <c r="AR358" s="281"/>
      <c r="AS358" s="281"/>
      <c r="AT358" s="281"/>
      <c r="AU358" s="281"/>
      <c r="AV358" s="281"/>
      <c r="AW358" s="281"/>
      <c r="AX358" s="281"/>
      <c r="AY358" s="281"/>
      <c r="AZ358" s="281"/>
      <c r="BA358" s="281"/>
      <c r="BB358" s="281"/>
      <c r="BC358" s="281"/>
      <c r="BD358" s="281"/>
      <c r="BE358" s="281"/>
      <c r="BF358" s="281"/>
      <c r="BG358" s="281"/>
      <c r="BH358" s="281"/>
      <c r="BI358" s="281"/>
      <c r="BJ358" s="281"/>
      <c r="BK358" s="281"/>
      <c r="BL358" s="281"/>
      <c r="BM358" s="281"/>
      <c r="BN358" s="281"/>
      <c r="BO358" s="281"/>
      <c r="BP358" s="281"/>
      <c r="BQ358" s="281"/>
      <c r="BR358" s="281"/>
      <c r="BS358" s="281"/>
      <c r="BT358" s="281"/>
      <c r="BU358" s="281"/>
      <c r="BV358" s="281"/>
      <c r="BW358" s="281"/>
      <c r="BX358" s="281"/>
      <c r="BY358" s="281"/>
      <c r="BZ358" s="281"/>
    </row>
    <row r="359" spans="1:78" x14ac:dyDescent="0.2">
      <c r="A359" s="422">
        <v>119</v>
      </c>
      <c r="B359" s="423" t="str">
        <f>IF(Stammblatt!$L$4=1,'Kalkulation Herstellungskosten'!AP359,'Kalkulation Herstellungskosten'!AQ359)</f>
        <v>für Nachsynchronisation</v>
      </c>
      <c r="C359" s="33">
        <v>0</v>
      </c>
      <c r="D359" s="425"/>
      <c r="E359" s="37">
        <v>0</v>
      </c>
      <c r="F359" s="426"/>
      <c r="G359" s="426">
        <f t="shared" ref="G359:G364" si="152">C359*E359</f>
        <v>0</v>
      </c>
      <c r="H359" s="427"/>
      <c r="I359" s="428"/>
      <c r="J359" s="460"/>
      <c r="K359" s="461"/>
      <c r="L359" s="461"/>
      <c r="M359" s="461"/>
      <c r="N359" s="462"/>
      <c r="O359" s="749"/>
      <c r="P359" s="742"/>
      <c r="Q359" s="743"/>
      <c r="R359" s="741"/>
      <c r="S359" s="751"/>
      <c r="T359" s="758"/>
      <c r="U359" s="741"/>
      <c r="V359" s="808">
        <f t="shared" ref="V359:V365" si="153">SUM(T359:U359)</f>
        <v>0</v>
      </c>
      <c r="W359" s="808">
        <f t="shared" ref="W359:W365" si="154">G359-V359</f>
        <v>0</v>
      </c>
      <c r="X359" s="749"/>
      <c r="Y359" s="744"/>
      <c r="Z359" s="743"/>
      <c r="AA359" s="741"/>
      <c r="AB359" s="391"/>
      <c r="AC359" s="401"/>
      <c r="AD359" s="92"/>
      <c r="AE359" s="92"/>
      <c r="AF359" s="92"/>
      <c r="AG359" s="561">
        <f t="shared" ref="AG359:AG365" si="155">SUM(G359,AD359:AF359)</f>
        <v>0</v>
      </c>
      <c r="AH359" s="405"/>
      <c r="AI359" s="405"/>
      <c r="AJ359" s="405"/>
      <c r="AK359" s="405"/>
      <c r="AL359" s="405"/>
      <c r="AM359" s="405"/>
      <c r="AN359" s="405"/>
      <c r="AO359" s="405"/>
      <c r="AP359" s="258" t="s">
        <v>75</v>
      </c>
      <c r="AQ359" s="258" t="s">
        <v>406</v>
      </c>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row>
    <row r="360" spans="1:78" x14ac:dyDescent="0.2">
      <c r="A360" s="422">
        <v>120</v>
      </c>
      <c r="B360" s="423" t="str">
        <f>IF(Stammblatt!$L$4=1,'Kalkulation Herstellungskosten'!AP360,'Kalkulation Herstellungskosten'!AQ360)</f>
        <v>für Geräuschaufnahme</v>
      </c>
      <c r="C360" s="33">
        <v>0</v>
      </c>
      <c r="D360" s="425"/>
      <c r="E360" s="37">
        <v>0</v>
      </c>
      <c r="F360" s="426"/>
      <c r="G360" s="426">
        <f t="shared" si="152"/>
        <v>0</v>
      </c>
      <c r="H360" s="427"/>
      <c r="I360" s="428"/>
      <c r="J360" s="460"/>
      <c r="K360" s="461"/>
      <c r="L360" s="461"/>
      <c r="M360" s="461"/>
      <c r="N360" s="462"/>
      <c r="O360" s="749"/>
      <c r="P360" s="742"/>
      <c r="Q360" s="743"/>
      <c r="R360" s="741"/>
      <c r="S360" s="751"/>
      <c r="T360" s="758"/>
      <c r="U360" s="741"/>
      <c r="V360" s="808">
        <f t="shared" si="153"/>
        <v>0</v>
      </c>
      <c r="W360" s="808">
        <f t="shared" si="154"/>
        <v>0</v>
      </c>
      <c r="X360" s="749"/>
      <c r="Y360" s="744"/>
      <c r="Z360" s="743"/>
      <c r="AA360" s="741"/>
      <c r="AB360" s="391"/>
      <c r="AC360" s="401"/>
      <c r="AD360" s="92"/>
      <c r="AE360" s="92"/>
      <c r="AF360" s="92"/>
      <c r="AG360" s="561">
        <f t="shared" si="155"/>
        <v>0</v>
      </c>
      <c r="AH360" s="405"/>
      <c r="AI360" s="405"/>
      <c r="AJ360" s="405"/>
      <c r="AK360" s="405"/>
      <c r="AL360" s="405"/>
      <c r="AM360" s="405"/>
      <c r="AN360" s="405"/>
      <c r="AO360" s="405"/>
      <c r="AP360" s="258" t="s">
        <v>76</v>
      </c>
      <c r="AQ360" s="258" t="s">
        <v>407</v>
      </c>
      <c r="AR360" s="281"/>
      <c r="AS360" s="281"/>
      <c r="AT360" s="281"/>
      <c r="AU360" s="281"/>
      <c r="AV360" s="281"/>
      <c r="AW360" s="281"/>
      <c r="AX360" s="281"/>
      <c r="AY360" s="281"/>
      <c r="AZ360" s="281"/>
      <c r="BA360" s="281"/>
      <c r="BB360" s="281"/>
      <c r="BC360" s="281"/>
      <c r="BD360" s="281"/>
      <c r="BE360" s="281"/>
      <c r="BF360" s="281"/>
      <c r="BG360" s="281"/>
      <c r="BH360" s="281"/>
      <c r="BI360" s="281"/>
      <c r="BJ360" s="281"/>
      <c r="BK360" s="281"/>
      <c r="BL360" s="281"/>
      <c r="BM360" s="281"/>
      <c r="BN360" s="281"/>
      <c r="BO360" s="281"/>
      <c r="BP360" s="281"/>
      <c r="BQ360" s="281"/>
      <c r="BR360" s="281"/>
      <c r="BS360" s="281"/>
      <c r="BT360" s="281"/>
      <c r="BU360" s="281"/>
      <c r="BV360" s="281"/>
      <c r="BW360" s="281"/>
      <c r="BX360" s="281"/>
      <c r="BY360" s="281"/>
      <c r="BZ360" s="281"/>
    </row>
    <row r="361" spans="1:78" x14ac:dyDescent="0.2">
      <c r="A361" s="422">
        <v>121</v>
      </c>
      <c r="B361" s="423" t="str">
        <f>IF(Stammblatt!$L$4=1,'Kalkulation Herstellungskosten'!AP361,'Kalkulation Herstellungskosten'!AQ361)</f>
        <v>für Geräuschvormischung</v>
      </c>
      <c r="C361" s="33">
        <v>0</v>
      </c>
      <c r="D361" s="425"/>
      <c r="E361" s="37">
        <v>0</v>
      </c>
      <c r="F361" s="426"/>
      <c r="G361" s="426">
        <f t="shared" si="152"/>
        <v>0</v>
      </c>
      <c r="H361" s="427"/>
      <c r="I361" s="428"/>
      <c r="J361" s="460"/>
      <c r="K361" s="461"/>
      <c r="L361" s="461"/>
      <c r="M361" s="461"/>
      <c r="N361" s="462"/>
      <c r="O361" s="749"/>
      <c r="P361" s="742"/>
      <c r="Q361" s="743"/>
      <c r="R361" s="741"/>
      <c r="S361" s="751"/>
      <c r="T361" s="758"/>
      <c r="U361" s="741"/>
      <c r="V361" s="808">
        <f t="shared" si="153"/>
        <v>0</v>
      </c>
      <c r="W361" s="808">
        <f t="shared" si="154"/>
        <v>0</v>
      </c>
      <c r="X361" s="749"/>
      <c r="Y361" s="744"/>
      <c r="Z361" s="743"/>
      <c r="AA361" s="741"/>
      <c r="AB361" s="391"/>
      <c r="AC361" s="401"/>
      <c r="AD361" s="92"/>
      <c r="AE361" s="92"/>
      <c r="AF361" s="92"/>
      <c r="AG361" s="561">
        <f t="shared" si="155"/>
        <v>0</v>
      </c>
      <c r="AH361" s="405"/>
      <c r="AI361" s="405"/>
      <c r="AJ361" s="405"/>
      <c r="AK361" s="405"/>
      <c r="AL361" s="405"/>
      <c r="AM361" s="405"/>
      <c r="AN361" s="405"/>
      <c r="AO361" s="405"/>
      <c r="AP361" s="258" t="s">
        <v>77</v>
      </c>
      <c r="AQ361" s="258" t="s">
        <v>498</v>
      </c>
      <c r="AR361" s="281"/>
      <c r="AS361" s="281"/>
      <c r="AT361" s="281"/>
      <c r="AU361" s="281"/>
      <c r="AV361" s="281"/>
      <c r="AW361" s="281"/>
      <c r="AX361" s="281"/>
      <c r="AY361" s="281"/>
      <c r="AZ361" s="281"/>
      <c r="BA361" s="281"/>
      <c r="BB361" s="281"/>
      <c r="BC361" s="281"/>
      <c r="BD361" s="281"/>
      <c r="BE361" s="281"/>
      <c r="BF361" s="281"/>
      <c r="BG361" s="281"/>
      <c r="BH361" s="281"/>
      <c r="BI361" s="281"/>
      <c r="BJ361" s="281"/>
      <c r="BK361" s="281"/>
      <c r="BL361" s="281"/>
      <c r="BM361" s="281"/>
      <c r="BN361" s="281"/>
      <c r="BO361" s="281"/>
      <c r="BP361" s="281"/>
      <c r="BQ361" s="281"/>
      <c r="BR361" s="281"/>
      <c r="BS361" s="281"/>
      <c r="BT361" s="281"/>
      <c r="BU361" s="281"/>
      <c r="BV361" s="281"/>
      <c r="BW361" s="281"/>
      <c r="BX361" s="281"/>
      <c r="BY361" s="281"/>
      <c r="BZ361" s="281"/>
    </row>
    <row r="362" spans="1:78" x14ac:dyDescent="0.2">
      <c r="A362" s="422">
        <v>122</v>
      </c>
      <c r="B362" s="423" t="str">
        <f>IF(Stammblatt!$L$4=1,'Kalkulation Herstellungskosten'!AP362,'Kalkulation Herstellungskosten'!AQ362)</f>
        <v>für Musikaufnahme</v>
      </c>
      <c r="C362" s="33">
        <v>0</v>
      </c>
      <c r="D362" s="425"/>
      <c r="E362" s="37">
        <v>0</v>
      </c>
      <c r="F362" s="426"/>
      <c r="G362" s="426">
        <f t="shared" si="152"/>
        <v>0</v>
      </c>
      <c r="H362" s="427"/>
      <c r="I362" s="428"/>
      <c r="J362" s="460"/>
      <c r="K362" s="461"/>
      <c r="L362" s="461"/>
      <c r="M362" s="461"/>
      <c r="N362" s="462"/>
      <c r="O362" s="749"/>
      <c r="P362" s="742"/>
      <c r="Q362" s="743"/>
      <c r="R362" s="741"/>
      <c r="S362" s="751"/>
      <c r="T362" s="758"/>
      <c r="U362" s="741"/>
      <c r="V362" s="808">
        <f t="shared" si="153"/>
        <v>0</v>
      </c>
      <c r="W362" s="808">
        <f t="shared" si="154"/>
        <v>0</v>
      </c>
      <c r="X362" s="749"/>
      <c r="Y362" s="744"/>
      <c r="Z362" s="743"/>
      <c r="AA362" s="741"/>
      <c r="AB362" s="391"/>
      <c r="AC362" s="401"/>
      <c r="AD362" s="92"/>
      <c r="AE362" s="92"/>
      <c r="AF362" s="92"/>
      <c r="AG362" s="561">
        <f t="shared" si="155"/>
        <v>0</v>
      </c>
      <c r="AH362" s="405"/>
      <c r="AI362" s="405"/>
      <c r="AJ362" s="405"/>
      <c r="AK362" s="405"/>
      <c r="AL362" s="405"/>
      <c r="AM362" s="405"/>
      <c r="AN362" s="405"/>
      <c r="AO362" s="405"/>
      <c r="AP362" s="258" t="s">
        <v>78</v>
      </c>
      <c r="AQ362" s="258" t="s">
        <v>408</v>
      </c>
      <c r="AR362" s="281"/>
      <c r="AS362" s="281"/>
      <c r="AT362" s="281"/>
      <c r="AU362" s="281"/>
      <c r="AV362" s="281"/>
      <c r="AW362" s="281"/>
      <c r="AX362" s="281"/>
      <c r="AY362" s="281"/>
      <c r="AZ362" s="281"/>
      <c r="BA362" s="281"/>
      <c r="BB362" s="281"/>
      <c r="BC362" s="281"/>
      <c r="BD362" s="281"/>
      <c r="BE362" s="281"/>
      <c r="BF362" s="281"/>
      <c r="BG362" s="281"/>
      <c r="BH362" s="281"/>
      <c r="BI362" s="281"/>
      <c r="BJ362" s="281"/>
      <c r="BK362" s="281"/>
      <c r="BL362" s="281"/>
      <c r="BM362" s="281"/>
      <c r="BN362" s="281"/>
      <c r="BO362" s="281"/>
      <c r="BP362" s="281"/>
      <c r="BQ362" s="281"/>
      <c r="BR362" s="281"/>
      <c r="BS362" s="281"/>
      <c r="BT362" s="281"/>
      <c r="BU362" s="281"/>
      <c r="BV362" s="281"/>
      <c r="BW362" s="281"/>
      <c r="BX362" s="281"/>
      <c r="BY362" s="281"/>
      <c r="BZ362" s="281"/>
    </row>
    <row r="363" spans="1:78" x14ac:dyDescent="0.2">
      <c r="A363" s="422">
        <v>123</v>
      </c>
      <c r="B363" s="423" t="str">
        <f>IF(Stammblatt!$L$4=1,'Kalkulation Herstellungskosten'!AP363,'Kalkulation Herstellungskosten'!AQ363)</f>
        <v>für I.T. Band-Mischung</v>
      </c>
      <c r="C363" s="33">
        <v>0</v>
      </c>
      <c r="D363" s="425"/>
      <c r="E363" s="37">
        <v>0</v>
      </c>
      <c r="F363" s="426"/>
      <c r="G363" s="426">
        <f t="shared" si="152"/>
        <v>0</v>
      </c>
      <c r="H363" s="427"/>
      <c r="I363" s="428"/>
      <c r="J363" s="460"/>
      <c r="K363" s="461"/>
      <c r="L363" s="461"/>
      <c r="M363" s="461"/>
      <c r="N363" s="462"/>
      <c r="O363" s="749"/>
      <c r="P363" s="742"/>
      <c r="Q363" s="743"/>
      <c r="R363" s="741"/>
      <c r="S363" s="751"/>
      <c r="T363" s="758"/>
      <c r="U363" s="741"/>
      <c r="V363" s="808">
        <f t="shared" si="153"/>
        <v>0</v>
      </c>
      <c r="W363" s="808">
        <f t="shared" si="154"/>
        <v>0</v>
      </c>
      <c r="X363" s="749"/>
      <c r="Y363" s="744"/>
      <c r="Z363" s="743"/>
      <c r="AA363" s="741"/>
      <c r="AB363" s="391"/>
      <c r="AC363" s="401"/>
      <c r="AD363" s="92"/>
      <c r="AE363" s="92"/>
      <c r="AF363" s="92"/>
      <c r="AG363" s="561">
        <f t="shared" si="155"/>
        <v>0</v>
      </c>
      <c r="AH363" s="405"/>
      <c r="AI363" s="405"/>
      <c r="AJ363" s="405"/>
      <c r="AK363" s="405"/>
      <c r="AL363" s="405"/>
      <c r="AM363" s="405"/>
      <c r="AN363" s="405"/>
      <c r="AO363" s="405"/>
      <c r="AP363" s="258" t="s">
        <v>79</v>
      </c>
      <c r="AQ363" s="258" t="s">
        <v>499</v>
      </c>
      <c r="AR363" s="281"/>
      <c r="AS363" s="281"/>
      <c r="AT363" s="281"/>
      <c r="AU363" s="281"/>
      <c r="AV363" s="281"/>
      <c r="AW363" s="281"/>
      <c r="AX363" s="281"/>
      <c r="AY363" s="281"/>
      <c r="AZ363" s="281"/>
      <c r="BA363" s="281"/>
      <c r="BB363" s="281"/>
      <c r="BC363" s="281"/>
      <c r="BD363" s="281"/>
      <c r="BE363" s="281"/>
      <c r="BF363" s="281"/>
      <c r="BG363" s="281"/>
      <c r="BH363" s="281"/>
      <c r="BI363" s="281"/>
      <c r="BJ363" s="281"/>
      <c r="BK363" s="281"/>
      <c r="BL363" s="281"/>
      <c r="BM363" s="281"/>
      <c r="BN363" s="281"/>
      <c r="BO363" s="281"/>
      <c r="BP363" s="281"/>
      <c r="BQ363" s="281"/>
      <c r="BR363" s="281"/>
      <c r="BS363" s="281"/>
      <c r="BT363" s="281"/>
      <c r="BU363" s="281"/>
      <c r="BV363" s="281"/>
      <c r="BW363" s="281"/>
      <c r="BX363" s="281"/>
      <c r="BY363" s="281"/>
      <c r="BZ363" s="281"/>
    </row>
    <row r="364" spans="1:78" x14ac:dyDescent="0.2">
      <c r="A364" s="422">
        <v>124</v>
      </c>
      <c r="B364" s="423" t="str">
        <f>IF(Stammblatt!$L$4=1,'Kalkulation Herstellungskosten'!AP364,'Kalkulation Herstellungskosten'!AQ364)</f>
        <v>für Gesamtmischung</v>
      </c>
      <c r="C364" s="33">
        <v>0</v>
      </c>
      <c r="D364" s="425"/>
      <c r="E364" s="37">
        <v>0</v>
      </c>
      <c r="F364" s="426"/>
      <c r="G364" s="426">
        <f t="shared" si="152"/>
        <v>0</v>
      </c>
      <c r="H364" s="427"/>
      <c r="I364" s="428"/>
      <c r="J364" s="460"/>
      <c r="K364" s="461"/>
      <c r="L364" s="461"/>
      <c r="M364" s="461"/>
      <c r="N364" s="462"/>
      <c r="O364" s="749"/>
      <c r="P364" s="742"/>
      <c r="Q364" s="743"/>
      <c r="R364" s="741"/>
      <c r="S364" s="751"/>
      <c r="T364" s="758"/>
      <c r="U364" s="741"/>
      <c r="V364" s="808">
        <f t="shared" si="153"/>
        <v>0</v>
      </c>
      <c r="W364" s="808">
        <f t="shared" si="154"/>
        <v>0</v>
      </c>
      <c r="X364" s="749"/>
      <c r="Y364" s="744"/>
      <c r="Z364" s="743"/>
      <c r="AA364" s="741"/>
      <c r="AB364" s="391"/>
      <c r="AC364" s="401"/>
      <c r="AD364" s="92"/>
      <c r="AE364" s="92"/>
      <c r="AF364" s="92"/>
      <c r="AG364" s="561">
        <f t="shared" si="155"/>
        <v>0</v>
      </c>
      <c r="AH364" s="405"/>
      <c r="AI364" s="405"/>
      <c r="AJ364" s="405"/>
      <c r="AK364" s="405"/>
      <c r="AL364" s="405"/>
      <c r="AM364" s="405"/>
      <c r="AN364" s="405"/>
      <c r="AO364" s="405"/>
      <c r="AP364" s="258" t="s">
        <v>80</v>
      </c>
      <c r="AQ364" s="258" t="s">
        <v>500</v>
      </c>
      <c r="AR364" s="281"/>
      <c r="AS364" s="281"/>
      <c r="AT364" s="281"/>
      <c r="AU364" s="281"/>
      <c r="AV364" s="281"/>
      <c r="AW364" s="281"/>
      <c r="AX364" s="281"/>
      <c r="AY364" s="281"/>
      <c r="AZ364" s="281"/>
      <c r="BA364" s="281"/>
      <c r="BB364" s="281"/>
      <c r="BC364" s="281"/>
      <c r="BD364" s="281"/>
      <c r="BE364" s="281"/>
      <c r="BF364" s="281"/>
      <c r="BG364" s="281"/>
      <c r="BH364" s="281"/>
      <c r="BI364" s="281"/>
      <c r="BJ364" s="281"/>
      <c r="BK364" s="281"/>
      <c r="BL364" s="281"/>
      <c r="BM364" s="281"/>
      <c r="BN364" s="281"/>
      <c r="BO364" s="281"/>
      <c r="BP364" s="281"/>
      <c r="BQ364" s="281"/>
      <c r="BR364" s="281"/>
      <c r="BS364" s="281"/>
      <c r="BT364" s="281"/>
      <c r="BU364" s="281"/>
      <c r="BV364" s="281"/>
      <c r="BW364" s="281"/>
      <c r="BX364" s="281"/>
      <c r="BY364" s="281"/>
      <c r="BZ364" s="281"/>
    </row>
    <row r="365" spans="1:78" x14ac:dyDescent="0.2">
      <c r="A365" s="422">
        <v>125</v>
      </c>
      <c r="B365" s="423" t="str">
        <f>IF(Stammblatt!$L$4=1,'Kalkulation Herstellungskosten'!AP365,'Kalkulation Herstellungskosten'!AQ365)</f>
        <v>Sonstiges *)</v>
      </c>
      <c r="C365" s="424"/>
      <c r="D365" s="425"/>
      <c r="E365" s="426"/>
      <c r="F365" s="426"/>
      <c r="G365" s="37">
        <v>0</v>
      </c>
      <c r="H365" s="427"/>
      <c r="I365" s="428"/>
      <c r="J365" s="460"/>
      <c r="K365" s="461"/>
      <c r="L365" s="461"/>
      <c r="M365" s="461"/>
      <c r="N365" s="462"/>
      <c r="O365" s="749"/>
      <c r="P365" s="742"/>
      <c r="Q365" s="743"/>
      <c r="R365" s="741"/>
      <c r="S365" s="751"/>
      <c r="T365" s="758"/>
      <c r="U365" s="741"/>
      <c r="V365" s="808">
        <f t="shared" si="153"/>
        <v>0</v>
      </c>
      <c r="W365" s="808">
        <f t="shared" si="154"/>
        <v>0</v>
      </c>
      <c r="X365" s="749"/>
      <c r="Y365" s="744"/>
      <c r="Z365" s="743"/>
      <c r="AA365" s="741"/>
      <c r="AB365" s="391"/>
      <c r="AC365" s="401"/>
      <c r="AD365" s="92"/>
      <c r="AE365" s="92"/>
      <c r="AF365" s="92"/>
      <c r="AG365" s="561">
        <f t="shared" si="155"/>
        <v>0</v>
      </c>
      <c r="AH365" s="405"/>
      <c r="AI365" s="405"/>
      <c r="AJ365" s="405"/>
      <c r="AK365" s="405"/>
      <c r="AL365" s="405"/>
      <c r="AM365" s="405"/>
      <c r="AN365" s="405"/>
      <c r="AO365" s="405"/>
      <c r="AP365" s="258" t="s">
        <v>41</v>
      </c>
      <c r="AQ365" s="258" t="s">
        <v>380</v>
      </c>
      <c r="AR365" s="281"/>
      <c r="AS365" s="281"/>
      <c r="AT365" s="281"/>
      <c r="AU365" s="281"/>
      <c r="AV365" s="281"/>
      <c r="AW365" s="281"/>
      <c r="AX365" s="281"/>
      <c r="AY365" s="281"/>
      <c r="AZ365" s="281"/>
      <c r="BA365" s="281"/>
      <c r="BB365" s="281"/>
      <c r="BC365" s="281"/>
      <c r="BD365" s="281"/>
      <c r="BE365" s="281"/>
      <c r="BF365" s="281"/>
      <c r="BG365" s="281"/>
      <c r="BH365" s="281"/>
      <c r="BI365" s="281"/>
      <c r="BJ365" s="281"/>
      <c r="BK365" s="281"/>
      <c r="BL365" s="281"/>
      <c r="BM365" s="281"/>
      <c r="BN365" s="281"/>
      <c r="BO365" s="281"/>
      <c r="BP365" s="281"/>
      <c r="BQ365" s="281"/>
      <c r="BR365" s="281"/>
      <c r="BS365" s="281"/>
      <c r="BT365" s="281"/>
      <c r="BU365" s="281"/>
      <c r="BV365" s="281"/>
      <c r="BW365" s="281"/>
      <c r="BX365" s="281"/>
      <c r="BY365" s="281"/>
      <c r="BZ365" s="281"/>
    </row>
    <row r="366" spans="1:78" x14ac:dyDescent="0.2">
      <c r="A366" s="398"/>
      <c r="B366" s="286"/>
      <c r="C366" s="399"/>
      <c r="D366" s="391"/>
      <c r="E366" s="400"/>
      <c r="F366" s="400"/>
      <c r="G366" s="400"/>
      <c r="H366" s="431"/>
      <c r="I366" s="394"/>
      <c r="J366" s="432"/>
      <c r="K366" s="431"/>
      <c r="L366" s="431"/>
      <c r="M366" s="431"/>
      <c r="N366" s="433"/>
      <c r="O366" s="745"/>
      <c r="P366" s="745"/>
      <c r="Q366" s="745"/>
      <c r="R366" s="745"/>
      <c r="S366" s="751"/>
      <c r="T366" s="746"/>
      <c r="U366" s="435"/>
      <c r="V366" s="435"/>
      <c r="W366" s="435"/>
      <c r="X366" s="745"/>
      <c r="Y366" s="745"/>
      <c r="Z366" s="745"/>
      <c r="AA366" s="745"/>
      <c r="AB366" s="391"/>
      <c r="AC366" s="401"/>
      <c r="AD366" s="400"/>
      <c r="AE366" s="400"/>
      <c r="AF366" s="400"/>
      <c r="AG366" s="281"/>
      <c r="AH366" s="405"/>
      <c r="AI366" s="405"/>
      <c r="AJ366" s="405"/>
      <c r="AK366" s="405"/>
      <c r="AL366" s="405"/>
      <c r="AM366" s="405"/>
      <c r="AN366" s="405"/>
      <c r="AO366" s="405"/>
      <c r="AP366" s="258"/>
      <c r="AQ366" s="258"/>
      <c r="AR366" s="281"/>
      <c r="AS366" s="281"/>
      <c r="AT366" s="281"/>
      <c r="AU366" s="281"/>
      <c r="AV366" s="281"/>
      <c r="AW366" s="281"/>
      <c r="AX366" s="281"/>
      <c r="AY366" s="281"/>
      <c r="AZ366" s="281"/>
      <c r="BA366" s="281"/>
      <c r="BB366" s="281"/>
      <c r="BC366" s="281"/>
      <c r="BD366" s="281"/>
      <c r="BE366" s="281"/>
      <c r="BF366" s="281"/>
      <c r="BG366" s="281"/>
      <c r="BH366" s="281"/>
      <c r="BI366" s="281"/>
      <c r="BJ366" s="281"/>
      <c r="BK366" s="281"/>
      <c r="BL366" s="281"/>
      <c r="BM366" s="281"/>
      <c r="BN366" s="281"/>
      <c r="BO366" s="281"/>
      <c r="BP366" s="281"/>
      <c r="BQ366" s="281"/>
      <c r="BR366" s="281"/>
      <c r="BS366" s="281"/>
      <c r="BT366" s="281"/>
      <c r="BU366" s="281"/>
      <c r="BV366" s="281"/>
      <c r="BW366" s="281"/>
      <c r="BX366" s="281"/>
      <c r="BY366" s="281"/>
      <c r="BZ366" s="281"/>
    </row>
    <row r="367" spans="1:78" x14ac:dyDescent="0.2">
      <c r="A367" s="112"/>
      <c r="B367" s="65" t="str">
        <f>IF(Stammblatt!$L$4=1,'Kalkulation Herstellungskosten'!AP367,'Kalkulation Herstellungskosten'!AQ367)</f>
        <v>Σ-Schnitt, Synchronisation, Mischung</v>
      </c>
      <c r="C367" s="31"/>
      <c r="D367" s="40"/>
      <c r="E367" s="39"/>
      <c r="F367" s="39"/>
      <c r="G367" s="39">
        <f>SUM(G352:G366)</f>
        <v>0</v>
      </c>
      <c r="H367" s="39"/>
      <c r="I367" s="135"/>
      <c r="J367" s="143"/>
      <c r="K367" s="39"/>
      <c r="L367" s="39"/>
      <c r="M367" s="39"/>
      <c r="N367" s="141"/>
      <c r="O367" s="747">
        <f t="shared" ref="O367:P367" si="156">SUM(O352:O366)</f>
        <v>0</v>
      </c>
      <c r="P367" s="747">
        <f t="shared" si="156"/>
        <v>0</v>
      </c>
      <c r="Q367" s="113">
        <f t="shared" ref="Q367:R367" si="157">SUM(Q352:Q366)</f>
        <v>0</v>
      </c>
      <c r="R367" s="113">
        <f t="shared" si="157"/>
        <v>0</v>
      </c>
      <c r="S367" s="751"/>
      <c r="T367" s="748">
        <f>SUM(T352:T366)</f>
        <v>0</v>
      </c>
      <c r="U367" s="113">
        <f>SUM(U352:U366)</f>
        <v>0</v>
      </c>
      <c r="V367" s="113">
        <f>SUM(V352:V366)</f>
        <v>0</v>
      </c>
      <c r="W367" s="113">
        <f>ZS_7_Schnitt_Sync_Mischung-V367</f>
        <v>0</v>
      </c>
      <c r="X367" s="747">
        <f t="shared" ref="X367" si="158">SUM(X352:X366)</f>
        <v>0</v>
      </c>
      <c r="Y367" s="747">
        <f t="shared" ref="Y367:AA367" si="159">SUM(Y352:Y366)</f>
        <v>0</v>
      </c>
      <c r="Z367" s="113">
        <f t="shared" si="159"/>
        <v>0</v>
      </c>
      <c r="AA367" s="113">
        <f t="shared" si="159"/>
        <v>0</v>
      </c>
      <c r="AB367" s="391"/>
      <c r="AC367" s="401"/>
      <c r="AD367" s="104">
        <f t="shared" ref="AD367:AF367" si="160">SUM(AD352:AD366)</f>
        <v>0</v>
      </c>
      <c r="AE367" s="104">
        <f t="shared" si="160"/>
        <v>0</v>
      </c>
      <c r="AF367" s="104">
        <f t="shared" si="160"/>
        <v>0</v>
      </c>
      <c r="AG367" s="39">
        <f>SUM(G367,AD367:AF367)</f>
        <v>0</v>
      </c>
      <c r="AH367" s="405"/>
      <c r="AI367" s="405"/>
      <c r="AJ367" s="405"/>
      <c r="AK367" s="405"/>
      <c r="AL367" s="405"/>
      <c r="AM367" s="405"/>
      <c r="AN367" s="405"/>
      <c r="AO367" s="405"/>
      <c r="AP367" s="258" t="s">
        <v>240</v>
      </c>
      <c r="AQ367" s="258" t="s">
        <v>446</v>
      </c>
      <c r="AR367" s="281"/>
      <c r="AS367" s="281"/>
      <c r="AT367" s="281"/>
      <c r="AU367" s="281"/>
      <c r="AV367" s="281"/>
      <c r="AW367" s="281"/>
      <c r="AX367" s="281"/>
      <c r="AY367" s="281"/>
      <c r="AZ367" s="281"/>
      <c r="BA367" s="281"/>
      <c r="BB367" s="281"/>
      <c r="BC367" s="281"/>
      <c r="BD367" s="281"/>
      <c r="BE367" s="281"/>
      <c r="BF367" s="281"/>
      <c r="BG367" s="281"/>
      <c r="BH367" s="281"/>
      <c r="BI367" s="281"/>
      <c r="BJ367" s="281"/>
      <c r="BK367" s="281"/>
      <c r="BL367" s="281"/>
      <c r="BM367" s="281"/>
      <c r="BN367" s="281"/>
      <c r="BO367" s="281"/>
      <c r="BP367" s="281"/>
      <c r="BQ367" s="281"/>
      <c r="BR367" s="281"/>
      <c r="BS367" s="281"/>
      <c r="BT367" s="281"/>
      <c r="BU367" s="281"/>
      <c r="BV367" s="281"/>
      <c r="BW367" s="281"/>
      <c r="BX367" s="281"/>
      <c r="BY367" s="281"/>
      <c r="BZ367" s="281"/>
    </row>
    <row r="368" spans="1:78" x14ac:dyDescent="0.2">
      <c r="A368" s="398"/>
      <c r="B368" s="286"/>
      <c r="C368" s="399"/>
      <c r="D368" s="391"/>
      <c r="E368" s="400"/>
      <c r="F368" s="400"/>
      <c r="G368" s="400"/>
      <c r="H368" s="431"/>
      <c r="I368" s="394"/>
      <c r="J368" s="432"/>
      <c r="K368" s="431"/>
      <c r="L368" s="431"/>
      <c r="M368" s="431"/>
      <c r="N368" s="433"/>
      <c r="O368" s="745"/>
      <c r="P368" s="745"/>
      <c r="Q368" s="745"/>
      <c r="R368" s="745"/>
      <c r="S368" s="751"/>
      <c r="T368" s="746"/>
      <c r="U368" s="435"/>
      <c r="V368" s="435"/>
      <c r="W368" s="435"/>
      <c r="X368" s="435"/>
      <c r="Y368" s="745"/>
      <c r="Z368" s="745"/>
      <c r="AA368" s="745"/>
      <c r="AB368" s="391"/>
      <c r="AC368" s="401"/>
      <c r="AD368" s="400"/>
      <c r="AE368" s="400"/>
      <c r="AF368" s="400"/>
      <c r="AG368" s="281"/>
      <c r="AH368" s="405"/>
      <c r="AI368" s="405"/>
      <c r="AJ368" s="405"/>
      <c r="AK368" s="405"/>
      <c r="AL368" s="405"/>
      <c r="AM368" s="405"/>
      <c r="AN368" s="405"/>
      <c r="AO368" s="405"/>
      <c r="AP368" s="258"/>
      <c r="AQ368" s="258"/>
      <c r="AR368" s="281"/>
      <c r="AS368" s="281"/>
      <c r="AT368" s="281"/>
      <c r="AU368" s="281"/>
      <c r="AV368" s="281"/>
      <c r="AW368" s="281"/>
      <c r="AX368" s="281"/>
      <c r="AY368" s="281"/>
      <c r="AZ368" s="281"/>
      <c r="BA368" s="281"/>
      <c r="BB368" s="281"/>
      <c r="BC368" s="281"/>
      <c r="BD368" s="281"/>
      <c r="BE368" s="281"/>
      <c r="BF368" s="281"/>
      <c r="BG368" s="281"/>
      <c r="BH368" s="281"/>
      <c r="BI368" s="281"/>
      <c r="BJ368" s="281"/>
      <c r="BK368" s="281"/>
      <c r="BL368" s="281"/>
      <c r="BM368" s="281"/>
      <c r="BN368" s="281"/>
      <c r="BO368" s="281"/>
      <c r="BP368" s="281"/>
      <c r="BQ368" s="281"/>
      <c r="BR368" s="281"/>
      <c r="BS368" s="281"/>
      <c r="BT368" s="281"/>
      <c r="BU368" s="281"/>
      <c r="BV368" s="281"/>
      <c r="BW368" s="281"/>
      <c r="BX368" s="281"/>
      <c r="BY368" s="281"/>
      <c r="BZ368" s="281"/>
    </row>
    <row r="369" spans="1:78" x14ac:dyDescent="0.2">
      <c r="A369" s="398"/>
      <c r="B369" s="286"/>
      <c r="C369" s="399"/>
      <c r="D369" s="391"/>
      <c r="E369" s="400"/>
      <c r="F369" s="400"/>
      <c r="G369" s="400"/>
      <c r="H369" s="431"/>
      <c r="I369" s="394"/>
      <c r="J369" s="432"/>
      <c r="K369" s="431"/>
      <c r="L369" s="431"/>
      <c r="M369" s="431"/>
      <c r="N369" s="433"/>
      <c r="O369" s="745"/>
      <c r="P369" s="745"/>
      <c r="Q369" s="745"/>
      <c r="R369" s="745"/>
      <c r="S369" s="751"/>
      <c r="T369" s="746"/>
      <c r="U369" s="435"/>
      <c r="V369" s="435"/>
      <c r="W369" s="435"/>
      <c r="X369" s="435"/>
      <c r="Y369" s="745"/>
      <c r="Z369" s="745"/>
      <c r="AA369" s="745"/>
      <c r="AB369" s="391"/>
      <c r="AC369" s="401"/>
      <c r="AD369" s="400"/>
      <c r="AE369" s="400"/>
      <c r="AF369" s="400"/>
      <c r="AG369" s="281"/>
      <c r="AH369" s="405"/>
      <c r="AI369" s="405"/>
      <c r="AJ369" s="405"/>
      <c r="AK369" s="405"/>
      <c r="AL369" s="405"/>
      <c r="AM369" s="405"/>
      <c r="AN369" s="405"/>
      <c r="AO369" s="405"/>
      <c r="AP369" s="258"/>
      <c r="AQ369" s="258"/>
      <c r="AR369" s="281"/>
      <c r="AS369" s="281"/>
      <c r="AT369" s="281"/>
      <c r="AU369" s="281"/>
      <c r="AV369" s="281"/>
      <c r="AW369" s="281"/>
      <c r="AX369" s="281"/>
      <c r="AY369" s="281"/>
      <c r="AZ369" s="281"/>
      <c r="BA369" s="281"/>
      <c r="BB369" s="281"/>
      <c r="BC369" s="281"/>
      <c r="BD369" s="281"/>
      <c r="BE369" s="281"/>
      <c r="BF369" s="281"/>
      <c r="BG369" s="281"/>
      <c r="BH369" s="281"/>
      <c r="BI369" s="281"/>
      <c r="BJ369" s="281"/>
      <c r="BK369" s="281"/>
      <c r="BL369" s="281"/>
      <c r="BM369" s="281"/>
      <c r="BN369" s="281"/>
      <c r="BO369" s="281"/>
      <c r="BP369" s="281"/>
      <c r="BQ369" s="281"/>
      <c r="BR369" s="281"/>
      <c r="BS369" s="281"/>
      <c r="BT369" s="281"/>
      <c r="BU369" s="281"/>
      <c r="BV369" s="281"/>
      <c r="BW369" s="281"/>
      <c r="BX369" s="281"/>
      <c r="BY369" s="281"/>
      <c r="BZ369" s="281"/>
    </row>
    <row r="370" spans="1:78" s="25" customFormat="1" x14ac:dyDescent="0.2">
      <c r="A370" s="406"/>
      <c r="B370" s="296" t="str">
        <f>IF(Stammblatt!$L$4=1,'Kalkulation Herstellungskosten'!AP370,'Kalkulation Herstellungskosten'!AQ370)</f>
        <v>8. Bild- und Tonmaterial, Bearbeitung*)</v>
      </c>
      <c r="C370" s="403"/>
      <c r="D370" s="436" t="s">
        <v>626</v>
      </c>
      <c r="E370" s="408"/>
      <c r="F370" s="408"/>
      <c r="G370" s="408"/>
      <c r="H370" s="401"/>
      <c r="I370" s="402"/>
      <c r="J370" s="409"/>
      <c r="K370" s="401"/>
      <c r="L370" s="401"/>
      <c r="M370" s="401"/>
      <c r="N370" s="410"/>
      <c r="O370" s="737"/>
      <c r="P370" s="737"/>
      <c r="Q370" s="737"/>
      <c r="R370" s="737"/>
      <c r="S370" s="751"/>
      <c r="T370" s="740"/>
      <c r="U370" s="441"/>
      <c r="V370" s="441"/>
      <c r="W370" s="441"/>
      <c r="X370" s="441"/>
      <c r="Y370" s="737"/>
      <c r="Z370" s="737"/>
      <c r="AA370" s="737"/>
      <c r="AB370" s="391"/>
      <c r="AC370" s="401"/>
      <c r="AD370" s="408"/>
      <c r="AE370" s="408"/>
      <c r="AF370" s="408"/>
      <c r="AG370" s="411"/>
      <c r="AH370" s="405"/>
      <c r="AI370" s="405"/>
      <c r="AJ370" s="405"/>
      <c r="AK370" s="405"/>
      <c r="AL370" s="405"/>
      <c r="AM370" s="405"/>
      <c r="AN370" s="405"/>
      <c r="AO370" s="405"/>
      <c r="AP370" s="258" t="s">
        <v>689</v>
      </c>
      <c r="AQ370" s="258" t="s">
        <v>690</v>
      </c>
      <c r="AR370" s="411"/>
      <c r="AS370" s="411"/>
      <c r="AT370" s="411"/>
      <c r="AU370" s="411"/>
      <c r="AV370" s="411"/>
      <c r="AW370" s="411"/>
      <c r="AX370" s="411"/>
      <c r="AY370" s="411"/>
      <c r="AZ370" s="411"/>
      <c r="BA370" s="411"/>
      <c r="BB370" s="411"/>
      <c r="BC370" s="411"/>
      <c r="BD370" s="411"/>
      <c r="BE370" s="411"/>
      <c r="BF370" s="411"/>
      <c r="BG370" s="411"/>
      <c r="BH370" s="411"/>
      <c r="BI370" s="411"/>
      <c r="BJ370" s="411"/>
      <c r="BK370" s="411"/>
      <c r="BL370" s="411"/>
      <c r="BM370" s="411"/>
      <c r="BN370" s="411"/>
      <c r="BO370" s="411"/>
      <c r="BP370" s="411"/>
      <c r="BQ370" s="411"/>
      <c r="BR370" s="411"/>
      <c r="BS370" s="411"/>
      <c r="BT370" s="411"/>
      <c r="BU370" s="411"/>
      <c r="BV370" s="411"/>
      <c r="BW370" s="411"/>
      <c r="BX370" s="411"/>
      <c r="BY370" s="411"/>
      <c r="BZ370" s="411"/>
    </row>
    <row r="371" spans="1:78" x14ac:dyDescent="0.2">
      <c r="A371" s="422">
        <v>126</v>
      </c>
      <c r="B371" s="423" t="str">
        <f>IF(Stammblatt!$L$4=1,'Kalkulation Herstellungskosten'!AP371,'Kalkulation Herstellungskosten'!AQ371)</f>
        <v>Bild- und Tonmaterial</v>
      </c>
      <c r="C371" s="424"/>
      <c r="D371" s="425"/>
      <c r="E371" s="426"/>
      <c r="F371" s="426"/>
      <c r="G371" s="426">
        <f>SUM(E372:E374)</f>
        <v>0</v>
      </c>
      <c r="H371" s="427"/>
      <c r="I371" s="428"/>
      <c r="J371" s="429"/>
      <c r="K371" s="427"/>
      <c r="L371" s="427"/>
      <c r="M371" s="427"/>
      <c r="N371" s="430"/>
      <c r="O371" s="749"/>
      <c r="P371" s="742"/>
      <c r="Q371" s="743"/>
      <c r="R371" s="741"/>
      <c r="S371" s="751"/>
      <c r="T371" s="758"/>
      <c r="U371" s="741"/>
      <c r="V371" s="808">
        <f t="shared" ref="V371:V392" si="161">SUM(T371:U371)</f>
        <v>0</v>
      </c>
      <c r="W371" s="808">
        <f>G371-V371</f>
        <v>0</v>
      </c>
      <c r="X371" s="749"/>
      <c r="Y371" s="744"/>
      <c r="Z371" s="743"/>
      <c r="AA371" s="741"/>
      <c r="AB371" s="391"/>
      <c r="AC371" s="401"/>
      <c r="AD371" s="92"/>
      <c r="AE371" s="92"/>
      <c r="AF371" s="92"/>
      <c r="AG371" s="561">
        <f>SUM(G371,AD371:AF371)</f>
        <v>0</v>
      </c>
      <c r="AH371" s="405"/>
      <c r="AI371" s="405"/>
      <c r="AJ371" s="405"/>
      <c r="AK371" s="405"/>
      <c r="AL371" s="405"/>
      <c r="AM371" s="405"/>
      <c r="AN371" s="405"/>
      <c r="AO371" s="405"/>
      <c r="AP371" s="258" t="s">
        <v>682</v>
      </c>
      <c r="AQ371" s="258" t="s">
        <v>683</v>
      </c>
      <c r="AR371" s="281"/>
      <c r="AS371" s="281"/>
      <c r="AT371" s="281"/>
      <c r="AU371" s="281"/>
      <c r="AV371" s="281"/>
      <c r="AW371" s="281"/>
      <c r="AX371" s="281"/>
      <c r="AY371" s="281"/>
      <c r="AZ371" s="281"/>
      <c r="BA371" s="281"/>
      <c r="BB371" s="281"/>
      <c r="BC371" s="281"/>
      <c r="BD371" s="281"/>
      <c r="BE371" s="281"/>
      <c r="BF371" s="281"/>
      <c r="BG371" s="281"/>
      <c r="BH371" s="281"/>
      <c r="BI371" s="281"/>
      <c r="BJ371" s="281"/>
      <c r="BK371" s="281"/>
      <c r="BL371" s="281"/>
      <c r="BM371" s="281"/>
      <c r="BN371" s="281"/>
      <c r="BO371" s="281"/>
      <c r="BP371" s="281"/>
      <c r="BQ371" s="281"/>
      <c r="BR371" s="281"/>
      <c r="BS371" s="281"/>
      <c r="BT371" s="281"/>
      <c r="BU371" s="281"/>
      <c r="BV371" s="281"/>
      <c r="BW371" s="281"/>
      <c r="BX371" s="281"/>
      <c r="BY371" s="281"/>
      <c r="BZ371" s="281"/>
    </row>
    <row r="372" spans="1:78" x14ac:dyDescent="0.2">
      <c r="A372" s="422" t="s">
        <v>882</v>
      </c>
      <c r="B372" s="464" t="s">
        <v>684</v>
      </c>
      <c r="C372" s="424"/>
      <c r="D372" s="425"/>
      <c r="E372" s="37">
        <v>0</v>
      </c>
      <c r="F372" s="426"/>
      <c r="G372" s="426"/>
      <c r="H372" s="427"/>
      <c r="I372" s="428"/>
      <c r="J372" s="460"/>
      <c r="K372" s="461"/>
      <c r="L372" s="461"/>
      <c r="M372" s="461"/>
      <c r="N372" s="462"/>
      <c r="O372" s="749"/>
      <c r="P372" s="742"/>
      <c r="Q372" s="743"/>
      <c r="R372" s="741"/>
      <c r="S372" s="751"/>
      <c r="T372" s="758"/>
      <c r="U372" s="741"/>
      <c r="V372" s="808"/>
      <c r="W372" s="808"/>
      <c r="X372" s="749"/>
      <c r="Y372" s="744"/>
      <c r="Z372" s="743"/>
      <c r="AA372" s="741"/>
      <c r="AB372" s="391"/>
      <c r="AC372" s="401"/>
      <c r="AD372" s="92"/>
      <c r="AE372" s="92"/>
      <c r="AF372" s="92"/>
      <c r="AG372" s="426"/>
      <c r="AH372" s="405"/>
      <c r="AI372" s="405"/>
      <c r="AJ372" s="405"/>
      <c r="AK372" s="405"/>
      <c r="AL372" s="405"/>
      <c r="AM372" s="405"/>
      <c r="AN372" s="405"/>
      <c r="AO372" s="405"/>
      <c r="AP372" s="258" t="s">
        <v>684</v>
      </c>
      <c r="AQ372" s="258" t="s">
        <v>711</v>
      </c>
      <c r="AR372" s="281"/>
      <c r="AS372" s="281"/>
      <c r="AT372" s="281"/>
      <c r="AU372" s="281"/>
      <c r="AV372" s="281"/>
      <c r="AW372" s="281"/>
      <c r="AX372" s="281"/>
      <c r="AY372" s="281"/>
      <c r="AZ372" s="281"/>
      <c r="BA372" s="281"/>
      <c r="BB372" s="281"/>
      <c r="BC372" s="281"/>
      <c r="BD372" s="281"/>
      <c r="BE372" s="281"/>
      <c r="BF372" s="281"/>
      <c r="BG372" s="281"/>
      <c r="BH372" s="281"/>
      <c r="BI372" s="281"/>
      <c r="BJ372" s="281"/>
      <c r="BK372" s="281"/>
      <c r="BL372" s="281"/>
      <c r="BM372" s="281"/>
      <c r="BN372" s="281"/>
      <c r="BO372" s="281"/>
      <c r="BP372" s="281"/>
      <c r="BQ372" s="281"/>
      <c r="BR372" s="281"/>
      <c r="BS372" s="281"/>
      <c r="BT372" s="281"/>
      <c r="BU372" s="281"/>
      <c r="BV372" s="281"/>
      <c r="BW372" s="281"/>
      <c r="BX372" s="281"/>
      <c r="BY372" s="281"/>
      <c r="BZ372" s="281"/>
    </row>
    <row r="373" spans="1:78" x14ac:dyDescent="0.2">
      <c r="A373" s="422" t="s">
        <v>883</v>
      </c>
      <c r="B373" s="464" t="s">
        <v>685</v>
      </c>
      <c r="C373" s="424"/>
      <c r="D373" s="425"/>
      <c r="E373" s="37">
        <v>0</v>
      </c>
      <c r="F373" s="426"/>
      <c r="G373" s="426"/>
      <c r="H373" s="427"/>
      <c r="I373" s="428"/>
      <c r="J373" s="460"/>
      <c r="K373" s="461"/>
      <c r="L373" s="461"/>
      <c r="M373" s="461"/>
      <c r="N373" s="462"/>
      <c r="O373" s="749"/>
      <c r="P373" s="742"/>
      <c r="Q373" s="743"/>
      <c r="R373" s="741"/>
      <c r="S373" s="751"/>
      <c r="T373" s="758"/>
      <c r="U373" s="741"/>
      <c r="V373" s="808"/>
      <c r="W373" s="808"/>
      <c r="X373" s="749"/>
      <c r="Y373" s="744"/>
      <c r="Z373" s="743"/>
      <c r="AA373" s="741"/>
      <c r="AB373" s="391"/>
      <c r="AC373" s="401"/>
      <c r="AD373" s="92"/>
      <c r="AE373" s="92"/>
      <c r="AF373" s="92"/>
      <c r="AG373" s="426"/>
      <c r="AH373" s="405"/>
      <c r="AI373" s="405"/>
      <c r="AJ373" s="405"/>
      <c r="AK373" s="405"/>
      <c r="AL373" s="405"/>
      <c r="AM373" s="405"/>
      <c r="AN373" s="405"/>
      <c r="AO373" s="405"/>
      <c r="AP373" s="258" t="s">
        <v>685</v>
      </c>
      <c r="AQ373" s="258" t="s">
        <v>712</v>
      </c>
      <c r="AR373" s="281"/>
      <c r="AS373" s="281"/>
      <c r="AT373" s="281"/>
      <c r="AU373" s="281"/>
      <c r="AV373" s="281"/>
      <c r="AW373" s="281"/>
      <c r="AX373" s="281"/>
      <c r="AY373" s="281"/>
      <c r="AZ373" s="281"/>
      <c r="BA373" s="281"/>
      <c r="BB373" s="281"/>
      <c r="BC373" s="281"/>
      <c r="BD373" s="281"/>
      <c r="BE373" s="281"/>
      <c r="BF373" s="281"/>
      <c r="BG373" s="281"/>
      <c r="BH373" s="281"/>
      <c r="BI373" s="281"/>
      <c r="BJ373" s="281"/>
      <c r="BK373" s="281"/>
      <c r="BL373" s="281"/>
      <c r="BM373" s="281"/>
      <c r="BN373" s="281"/>
      <c r="BO373" s="281"/>
      <c r="BP373" s="281"/>
      <c r="BQ373" s="281"/>
      <c r="BR373" s="281"/>
      <c r="BS373" s="281"/>
      <c r="BT373" s="281"/>
      <c r="BU373" s="281"/>
      <c r="BV373" s="281"/>
      <c r="BW373" s="281"/>
      <c r="BX373" s="281"/>
      <c r="BY373" s="281"/>
      <c r="BZ373" s="281"/>
    </row>
    <row r="374" spans="1:78" x14ac:dyDescent="0.2">
      <c r="A374" s="422" t="s">
        <v>884</v>
      </c>
      <c r="B374" s="464" t="s">
        <v>686</v>
      </c>
      <c r="C374" s="424"/>
      <c r="D374" s="425"/>
      <c r="E374" s="37">
        <v>0</v>
      </c>
      <c r="F374" s="426"/>
      <c r="G374" s="426"/>
      <c r="H374" s="427"/>
      <c r="I374" s="428"/>
      <c r="J374" s="460"/>
      <c r="K374" s="461"/>
      <c r="L374" s="461"/>
      <c r="M374" s="461"/>
      <c r="N374" s="462"/>
      <c r="O374" s="749"/>
      <c r="P374" s="742"/>
      <c r="Q374" s="743"/>
      <c r="R374" s="741"/>
      <c r="S374" s="751"/>
      <c r="T374" s="758"/>
      <c r="U374" s="741"/>
      <c r="V374" s="808"/>
      <c r="W374" s="808"/>
      <c r="X374" s="749"/>
      <c r="Y374" s="744"/>
      <c r="Z374" s="743"/>
      <c r="AA374" s="741"/>
      <c r="AB374" s="391"/>
      <c r="AC374" s="401"/>
      <c r="AD374" s="92"/>
      <c r="AE374" s="92"/>
      <c r="AF374" s="92"/>
      <c r="AG374" s="426"/>
      <c r="AH374" s="405"/>
      <c r="AI374" s="405"/>
      <c r="AJ374" s="405"/>
      <c r="AK374" s="405"/>
      <c r="AL374" s="405"/>
      <c r="AM374" s="405"/>
      <c r="AN374" s="405"/>
      <c r="AO374" s="405"/>
      <c r="AP374" s="258" t="s">
        <v>686</v>
      </c>
      <c r="AQ374" s="258" t="s">
        <v>380</v>
      </c>
      <c r="AR374" s="281"/>
      <c r="AS374" s="281"/>
      <c r="AT374" s="281"/>
      <c r="AU374" s="281"/>
      <c r="AV374" s="281"/>
      <c r="AW374" s="281"/>
      <c r="AX374" s="281"/>
      <c r="AY374" s="281"/>
      <c r="AZ374" s="281"/>
      <c r="BA374" s="281"/>
      <c r="BB374" s="281"/>
      <c r="BC374" s="281"/>
      <c r="BD374" s="281"/>
      <c r="BE374" s="281"/>
      <c r="BF374" s="281"/>
      <c r="BG374" s="281"/>
      <c r="BH374" s="281"/>
      <c r="BI374" s="281"/>
      <c r="BJ374" s="281"/>
      <c r="BK374" s="281"/>
      <c r="BL374" s="281"/>
      <c r="BM374" s="281"/>
      <c r="BN374" s="281"/>
      <c r="BO374" s="281"/>
      <c r="BP374" s="281"/>
      <c r="BQ374" s="281"/>
      <c r="BR374" s="281"/>
      <c r="BS374" s="281"/>
      <c r="BT374" s="281"/>
      <c r="BU374" s="281"/>
      <c r="BV374" s="281"/>
      <c r="BW374" s="281"/>
      <c r="BX374" s="281"/>
      <c r="BY374" s="281"/>
      <c r="BZ374" s="281"/>
    </row>
    <row r="375" spans="1:78" x14ac:dyDescent="0.2">
      <c r="A375" s="422">
        <v>127</v>
      </c>
      <c r="B375" s="423" t="str">
        <f>IF(Stammblatt!$L$4=1,'Kalkulation Herstellungskosten'!AP375,'Kalkulation Herstellungskosten'!AQ375)</f>
        <v>Negativentwicklung und Muster</v>
      </c>
      <c r="C375" s="424"/>
      <c r="D375" s="425"/>
      <c r="E375" s="426"/>
      <c r="F375" s="426"/>
      <c r="G375" s="37">
        <v>0</v>
      </c>
      <c r="H375" s="427"/>
      <c r="I375" s="428"/>
      <c r="J375" s="460"/>
      <c r="K375" s="461"/>
      <c r="L375" s="461"/>
      <c r="M375" s="461"/>
      <c r="N375" s="462"/>
      <c r="O375" s="749"/>
      <c r="P375" s="742"/>
      <c r="Q375" s="743"/>
      <c r="R375" s="741"/>
      <c r="S375" s="751"/>
      <c r="T375" s="758"/>
      <c r="U375" s="741"/>
      <c r="V375" s="808">
        <f t="shared" si="161"/>
        <v>0</v>
      </c>
      <c r="W375" s="808">
        <f t="shared" ref="W375:W380" si="162">G375-V375</f>
        <v>0</v>
      </c>
      <c r="X375" s="749"/>
      <c r="Y375" s="744"/>
      <c r="Z375" s="743"/>
      <c r="AA375" s="741"/>
      <c r="AB375" s="391"/>
      <c r="AC375" s="401"/>
      <c r="AD375" s="92"/>
      <c r="AE375" s="92"/>
      <c r="AF375" s="92"/>
      <c r="AG375" s="561">
        <f t="shared" ref="AG375:AG380" si="163">SUM(G375,AD375:AF375)</f>
        <v>0</v>
      </c>
      <c r="AH375" s="405"/>
      <c r="AI375" s="405"/>
      <c r="AJ375" s="405"/>
      <c r="AK375" s="405"/>
      <c r="AL375" s="405"/>
      <c r="AM375" s="405"/>
      <c r="AN375" s="405"/>
      <c r="AO375" s="405"/>
      <c r="AP375" s="258" t="s">
        <v>211</v>
      </c>
      <c r="AQ375" s="258" t="s">
        <v>501</v>
      </c>
      <c r="AR375" s="281"/>
      <c r="AS375" s="281"/>
      <c r="AT375" s="281"/>
      <c r="AU375" s="281"/>
      <c r="AV375" s="281"/>
      <c r="AW375" s="281"/>
      <c r="AX375" s="281"/>
      <c r="AY375" s="281"/>
      <c r="AZ375" s="281"/>
      <c r="BA375" s="281"/>
      <c r="BB375" s="281"/>
      <c r="BC375" s="281"/>
      <c r="BD375" s="281"/>
      <c r="BE375" s="281"/>
      <c r="BF375" s="281"/>
      <c r="BG375" s="281"/>
      <c r="BH375" s="281"/>
      <c r="BI375" s="281"/>
      <c r="BJ375" s="281"/>
      <c r="BK375" s="281"/>
      <c r="BL375" s="281"/>
      <c r="BM375" s="281"/>
      <c r="BN375" s="281"/>
      <c r="BO375" s="281"/>
      <c r="BP375" s="281"/>
      <c r="BQ375" s="281"/>
      <c r="BR375" s="281"/>
      <c r="BS375" s="281"/>
      <c r="BT375" s="281"/>
      <c r="BU375" s="281"/>
      <c r="BV375" s="281"/>
      <c r="BW375" s="281"/>
      <c r="BX375" s="281"/>
      <c r="BY375" s="281"/>
      <c r="BZ375" s="281"/>
    </row>
    <row r="376" spans="1:78" x14ac:dyDescent="0.2">
      <c r="A376" s="422">
        <v>128</v>
      </c>
      <c r="B376" s="423" t="str">
        <f>IF(Stammblatt!$L$4=1,'Kalkulation Herstellungskosten'!AP376,'Kalkulation Herstellungskosten'!AQ376)</f>
        <v>Negativbearbeitung</v>
      </c>
      <c r="C376" s="424"/>
      <c r="D376" s="425"/>
      <c r="E376" s="426"/>
      <c r="F376" s="426"/>
      <c r="G376" s="37">
        <v>0</v>
      </c>
      <c r="H376" s="427"/>
      <c r="I376" s="428"/>
      <c r="J376" s="460"/>
      <c r="K376" s="461"/>
      <c r="L376" s="461"/>
      <c r="M376" s="461"/>
      <c r="N376" s="462"/>
      <c r="O376" s="749"/>
      <c r="P376" s="742"/>
      <c r="Q376" s="743"/>
      <c r="R376" s="741"/>
      <c r="S376" s="751"/>
      <c r="T376" s="758"/>
      <c r="U376" s="741"/>
      <c r="V376" s="808">
        <f t="shared" si="161"/>
        <v>0</v>
      </c>
      <c r="W376" s="808">
        <f t="shared" si="162"/>
        <v>0</v>
      </c>
      <c r="X376" s="749"/>
      <c r="Y376" s="744"/>
      <c r="Z376" s="743"/>
      <c r="AA376" s="741"/>
      <c r="AB376" s="391"/>
      <c r="AC376" s="401"/>
      <c r="AD376" s="92"/>
      <c r="AE376" s="92"/>
      <c r="AF376" s="92"/>
      <c r="AG376" s="561">
        <f t="shared" si="163"/>
        <v>0</v>
      </c>
      <c r="AH376" s="405"/>
      <c r="AI376" s="405"/>
      <c r="AJ376" s="405"/>
      <c r="AK376" s="405"/>
      <c r="AL376" s="405"/>
      <c r="AM376" s="405"/>
      <c r="AN376" s="405"/>
      <c r="AO376" s="405"/>
      <c r="AP376" s="258" t="s">
        <v>210</v>
      </c>
      <c r="AQ376" s="258" t="s">
        <v>410</v>
      </c>
      <c r="AR376" s="281"/>
      <c r="AS376" s="281"/>
      <c r="AT376" s="281"/>
      <c r="AU376" s="281"/>
      <c r="AV376" s="281"/>
      <c r="AW376" s="281"/>
      <c r="AX376" s="281"/>
      <c r="AY376" s="281"/>
      <c r="AZ376" s="281"/>
      <c r="BA376" s="281"/>
      <c r="BB376" s="281"/>
      <c r="BC376" s="281"/>
      <c r="BD376" s="281"/>
      <c r="BE376" s="281"/>
      <c r="BF376" s="281"/>
      <c r="BG376" s="281"/>
      <c r="BH376" s="281"/>
      <c r="BI376" s="281"/>
      <c r="BJ376" s="281"/>
      <c r="BK376" s="281"/>
      <c r="BL376" s="281"/>
      <c r="BM376" s="281"/>
      <c r="BN376" s="281"/>
      <c r="BO376" s="281"/>
      <c r="BP376" s="281"/>
      <c r="BQ376" s="281"/>
      <c r="BR376" s="281"/>
      <c r="BS376" s="281"/>
      <c r="BT376" s="281"/>
      <c r="BU376" s="281"/>
      <c r="BV376" s="281"/>
      <c r="BW376" s="281"/>
      <c r="BX376" s="281"/>
      <c r="BY376" s="281"/>
      <c r="BZ376" s="281"/>
    </row>
    <row r="377" spans="1:78" x14ac:dyDescent="0.2">
      <c r="A377" s="422">
        <v>129</v>
      </c>
      <c r="B377" s="423" t="str">
        <f>IF(Stammblatt!$L$4=1,'Kalkulation Herstellungskosten'!AP377,'Kalkulation Herstellungskosten'!AQ377)</f>
        <v>Datenüberspielung/Sicherung</v>
      </c>
      <c r="C377" s="424"/>
      <c r="D377" s="425"/>
      <c r="E377" s="426"/>
      <c r="F377" s="426"/>
      <c r="G377" s="37">
        <v>0</v>
      </c>
      <c r="H377" s="427"/>
      <c r="I377" s="428"/>
      <c r="J377" s="460"/>
      <c r="K377" s="461"/>
      <c r="L377" s="461"/>
      <c r="M377" s="461"/>
      <c r="N377" s="462"/>
      <c r="O377" s="749"/>
      <c r="P377" s="742"/>
      <c r="Q377" s="743"/>
      <c r="R377" s="741"/>
      <c r="S377" s="751"/>
      <c r="T377" s="758"/>
      <c r="U377" s="741"/>
      <c r="V377" s="808">
        <f t="shared" si="161"/>
        <v>0</v>
      </c>
      <c r="W377" s="808">
        <f t="shared" si="162"/>
        <v>0</v>
      </c>
      <c r="X377" s="749"/>
      <c r="Y377" s="744"/>
      <c r="Z377" s="743"/>
      <c r="AA377" s="741"/>
      <c r="AB377" s="391"/>
      <c r="AC377" s="401"/>
      <c r="AD377" s="92"/>
      <c r="AE377" s="92"/>
      <c r="AF377" s="92"/>
      <c r="AG377" s="561">
        <f t="shared" si="163"/>
        <v>0</v>
      </c>
      <c r="AH377" s="405"/>
      <c r="AI377" s="405"/>
      <c r="AJ377" s="405"/>
      <c r="AK377" s="405"/>
      <c r="AL377" s="405"/>
      <c r="AM377" s="405"/>
      <c r="AN377" s="405"/>
      <c r="AO377" s="405"/>
      <c r="AP377" s="258" t="s">
        <v>688</v>
      </c>
      <c r="AQ377" s="258" t="s">
        <v>687</v>
      </c>
      <c r="AR377" s="281"/>
      <c r="AS377" s="281"/>
      <c r="AT377" s="281"/>
      <c r="AU377" s="281"/>
      <c r="AV377" s="281"/>
      <c r="AW377" s="281"/>
      <c r="AX377" s="281"/>
      <c r="AY377" s="281"/>
      <c r="AZ377" s="281"/>
      <c r="BA377" s="281"/>
      <c r="BB377" s="281"/>
      <c r="BC377" s="281"/>
      <c r="BD377" s="281"/>
      <c r="BE377" s="281"/>
      <c r="BF377" s="281"/>
      <c r="BG377" s="281"/>
      <c r="BH377" s="281"/>
      <c r="BI377" s="281"/>
      <c r="BJ377" s="281"/>
      <c r="BK377" s="281"/>
      <c r="BL377" s="281"/>
      <c r="BM377" s="281"/>
      <c r="BN377" s="281"/>
      <c r="BO377" s="281"/>
      <c r="BP377" s="281"/>
      <c r="BQ377" s="281"/>
      <c r="BR377" s="281"/>
      <c r="BS377" s="281"/>
      <c r="BT377" s="281"/>
      <c r="BU377" s="281"/>
      <c r="BV377" s="281"/>
      <c r="BW377" s="281"/>
      <c r="BX377" s="281"/>
      <c r="BY377" s="281"/>
      <c r="BZ377" s="281"/>
    </row>
    <row r="378" spans="1:78" x14ac:dyDescent="0.2">
      <c r="A378" s="422">
        <v>130</v>
      </c>
      <c r="B378" s="423" t="str">
        <f>IF(Stammblatt!$L$4=1,'Kalkulation Herstellungskosten'!AP378,'Kalkulation Herstellungskosten'!AQ378)</f>
        <v>Titelgestaltung</v>
      </c>
      <c r="C378" s="424"/>
      <c r="D378" s="425"/>
      <c r="E378" s="426"/>
      <c r="F378" s="426"/>
      <c r="G378" s="37">
        <v>0</v>
      </c>
      <c r="H378" s="427"/>
      <c r="I378" s="428"/>
      <c r="J378" s="460"/>
      <c r="K378" s="461"/>
      <c r="L378" s="461"/>
      <c r="M378" s="461"/>
      <c r="N378" s="462"/>
      <c r="O378" s="749"/>
      <c r="P378" s="742"/>
      <c r="Q378" s="743"/>
      <c r="R378" s="741"/>
      <c r="S378" s="751"/>
      <c r="T378" s="758"/>
      <c r="U378" s="741"/>
      <c r="V378" s="808">
        <f t="shared" si="161"/>
        <v>0</v>
      </c>
      <c r="W378" s="808">
        <f t="shared" si="162"/>
        <v>0</v>
      </c>
      <c r="X378" s="749"/>
      <c r="Y378" s="744"/>
      <c r="Z378" s="743"/>
      <c r="AA378" s="741"/>
      <c r="AB378" s="391"/>
      <c r="AC378" s="401"/>
      <c r="AD378" s="92"/>
      <c r="AE378" s="92"/>
      <c r="AF378" s="92"/>
      <c r="AG378" s="561">
        <f t="shared" si="163"/>
        <v>0</v>
      </c>
      <c r="AH378" s="405"/>
      <c r="AI378" s="405"/>
      <c r="AJ378" s="405"/>
      <c r="AK378" s="405"/>
      <c r="AL378" s="405"/>
      <c r="AM378" s="405"/>
      <c r="AN378" s="405"/>
      <c r="AO378" s="405"/>
      <c r="AP378" s="258" t="s">
        <v>691</v>
      </c>
      <c r="AQ378" s="258" t="s">
        <v>692</v>
      </c>
      <c r="AR378" s="281"/>
      <c r="AS378" s="281"/>
      <c r="AT378" s="281"/>
      <c r="AU378" s="281"/>
      <c r="AV378" s="281"/>
      <c r="AW378" s="281"/>
      <c r="AX378" s="281"/>
      <c r="AY378" s="281"/>
      <c r="AZ378" s="281"/>
      <c r="BA378" s="281"/>
      <c r="BB378" s="281"/>
      <c r="BC378" s="281"/>
      <c r="BD378" s="281"/>
      <c r="BE378" s="281"/>
      <c r="BF378" s="281"/>
      <c r="BG378" s="281"/>
      <c r="BH378" s="281"/>
      <c r="BI378" s="281"/>
      <c r="BJ378" s="281"/>
      <c r="BK378" s="281"/>
      <c r="BL378" s="281"/>
      <c r="BM378" s="281"/>
      <c r="BN378" s="281"/>
      <c r="BO378" s="281"/>
      <c r="BP378" s="281"/>
      <c r="BQ378" s="281"/>
      <c r="BR378" s="281"/>
      <c r="BS378" s="281"/>
      <c r="BT378" s="281"/>
      <c r="BU378" s="281"/>
      <c r="BV378" s="281"/>
      <c r="BW378" s="281"/>
      <c r="BX378" s="281"/>
      <c r="BY378" s="281"/>
      <c r="BZ378" s="281"/>
    </row>
    <row r="379" spans="1:78" x14ac:dyDescent="0.2">
      <c r="A379" s="422">
        <v>131</v>
      </c>
      <c r="B379" s="423" t="str">
        <f>IF(Stammblatt!$L$4=1,'Kalkulation Herstellungskosten'!AP379,'Kalkulation Herstellungskosten'!AQ379)</f>
        <v>Filmtricks (Animation, CGI, VFX)</v>
      </c>
      <c r="C379" s="424"/>
      <c r="D379" s="425"/>
      <c r="E379" s="426"/>
      <c r="F379" s="426"/>
      <c r="G379" s="37">
        <v>0</v>
      </c>
      <c r="H379" s="427"/>
      <c r="I379" s="428"/>
      <c r="J379" s="460"/>
      <c r="K379" s="461"/>
      <c r="L379" s="461"/>
      <c r="M379" s="461"/>
      <c r="N379" s="462"/>
      <c r="O379" s="749"/>
      <c r="P379" s="742"/>
      <c r="Q379" s="743"/>
      <c r="R379" s="741"/>
      <c r="S379" s="751"/>
      <c r="T379" s="758"/>
      <c r="U379" s="741"/>
      <c r="V379" s="808">
        <f t="shared" si="161"/>
        <v>0</v>
      </c>
      <c r="W379" s="808">
        <f t="shared" si="162"/>
        <v>0</v>
      </c>
      <c r="X379" s="749"/>
      <c r="Y379" s="744"/>
      <c r="Z379" s="743"/>
      <c r="AA379" s="741"/>
      <c r="AB379" s="391"/>
      <c r="AC379" s="401"/>
      <c r="AD379" s="92"/>
      <c r="AE379" s="92"/>
      <c r="AF379" s="92"/>
      <c r="AG379" s="561">
        <f t="shared" si="163"/>
        <v>0</v>
      </c>
      <c r="AH379" s="405"/>
      <c r="AI379" s="405"/>
      <c r="AJ379" s="405"/>
      <c r="AK379" s="405"/>
      <c r="AL379" s="405"/>
      <c r="AM379" s="405"/>
      <c r="AN379" s="405"/>
      <c r="AO379" s="405"/>
      <c r="AP379" s="258" t="s">
        <v>693</v>
      </c>
      <c r="AQ379" s="258" t="s">
        <v>694</v>
      </c>
      <c r="AR379" s="281"/>
      <c r="AS379" s="281"/>
      <c r="AT379" s="281"/>
      <c r="AU379" s="281"/>
      <c r="AV379" s="281"/>
      <c r="AW379" s="281"/>
      <c r="AX379" s="281"/>
      <c r="AY379" s="281"/>
      <c r="AZ379" s="281"/>
      <c r="BA379" s="281"/>
      <c r="BB379" s="281"/>
      <c r="BC379" s="281"/>
      <c r="BD379" s="281"/>
      <c r="BE379" s="281"/>
      <c r="BF379" s="281"/>
      <c r="BG379" s="281"/>
      <c r="BH379" s="281"/>
      <c r="BI379" s="281"/>
      <c r="BJ379" s="281"/>
      <c r="BK379" s="281"/>
      <c r="BL379" s="281"/>
      <c r="BM379" s="281"/>
      <c r="BN379" s="281"/>
      <c r="BO379" s="281"/>
      <c r="BP379" s="281"/>
      <c r="BQ379" s="281"/>
      <c r="BR379" s="281"/>
      <c r="BS379" s="281"/>
      <c r="BT379" s="281"/>
      <c r="BU379" s="281"/>
      <c r="BV379" s="281"/>
      <c r="BW379" s="281"/>
      <c r="BX379" s="281"/>
      <c r="BY379" s="281"/>
      <c r="BZ379" s="281"/>
    </row>
    <row r="380" spans="1:78" x14ac:dyDescent="0.2">
      <c r="A380" s="422">
        <v>132</v>
      </c>
      <c r="B380" s="423" t="str">
        <f>IF(Stammblatt!$L$4=1,'Kalkulation Herstellungskosten'!AP380,'Kalkulation Herstellungskosten'!AQ380)</f>
        <v>Sonstige Bildbearbeitung</v>
      </c>
      <c r="C380" s="424"/>
      <c r="D380" s="425"/>
      <c r="E380" s="426"/>
      <c r="F380" s="426"/>
      <c r="G380" s="561">
        <f>SUM(E381:E384)</f>
        <v>0</v>
      </c>
      <c r="H380" s="427"/>
      <c r="I380" s="428"/>
      <c r="J380" s="460"/>
      <c r="K380" s="461"/>
      <c r="L380" s="461"/>
      <c r="M380" s="461"/>
      <c r="N380" s="462"/>
      <c r="O380" s="749"/>
      <c r="P380" s="742"/>
      <c r="Q380" s="743"/>
      <c r="R380" s="741"/>
      <c r="S380" s="751"/>
      <c r="T380" s="758"/>
      <c r="U380" s="741"/>
      <c r="V380" s="808">
        <f t="shared" si="161"/>
        <v>0</v>
      </c>
      <c r="W380" s="808">
        <f t="shared" si="162"/>
        <v>0</v>
      </c>
      <c r="X380" s="749"/>
      <c r="Y380" s="744"/>
      <c r="Z380" s="743"/>
      <c r="AA380" s="741"/>
      <c r="AB380" s="391"/>
      <c r="AC380" s="401"/>
      <c r="AD380" s="92"/>
      <c r="AE380" s="92"/>
      <c r="AF380" s="92"/>
      <c r="AG380" s="561">
        <f t="shared" si="163"/>
        <v>0</v>
      </c>
      <c r="AH380" s="405"/>
      <c r="AI380" s="405"/>
      <c r="AJ380" s="405"/>
      <c r="AK380" s="405"/>
      <c r="AL380" s="405"/>
      <c r="AM380" s="405"/>
      <c r="AN380" s="405"/>
      <c r="AO380" s="405"/>
      <c r="AP380" s="258" t="s">
        <v>695</v>
      </c>
      <c r="AQ380" s="258" t="s">
        <v>515</v>
      </c>
      <c r="AR380" s="281"/>
      <c r="AS380" s="281"/>
      <c r="AT380" s="281"/>
      <c r="AU380" s="281"/>
      <c r="AV380" s="281"/>
      <c r="AW380" s="281"/>
      <c r="AX380" s="281"/>
      <c r="AY380" s="281"/>
      <c r="AZ380" s="281"/>
      <c r="BA380" s="281"/>
      <c r="BB380" s="281"/>
      <c r="BC380" s="281"/>
      <c r="BD380" s="281"/>
      <c r="BE380" s="281"/>
      <c r="BF380" s="281"/>
      <c r="BG380" s="281"/>
      <c r="BH380" s="281"/>
      <c r="BI380" s="281"/>
      <c r="BJ380" s="281"/>
      <c r="BK380" s="281"/>
      <c r="BL380" s="281"/>
      <c r="BM380" s="281"/>
      <c r="BN380" s="281"/>
      <c r="BO380" s="281"/>
      <c r="BP380" s="281"/>
      <c r="BQ380" s="281"/>
      <c r="BR380" s="281"/>
      <c r="BS380" s="281"/>
      <c r="BT380" s="281"/>
      <c r="BU380" s="281"/>
      <c r="BV380" s="281"/>
      <c r="BW380" s="281"/>
      <c r="BX380" s="281"/>
      <c r="BY380" s="281"/>
      <c r="BZ380" s="281"/>
    </row>
    <row r="381" spans="1:78" x14ac:dyDescent="0.2">
      <c r="A381" s="422" t="s">
        <v>885</v>
      </c>
      <c r="B381" s="464" t="str">
        <f>IF(Stammblatt!$L$4=1,'Kalkulation Herstellungskosten'!AP381,'Kalkulation Herstellungskosten'!AQ381)</f>
        <v>Telecine und Farbkorrektur</v>
      </c>
      <c r="C381" s="424"/>
      <c r="D381" s="425"/>
      <c r="E381" s="37">
        <v>0</v>
      </c>
      <c r="F381" s="426"/>
      <c r="G381" s="426"/>
      <c r="H381" s="427"/>
      <c r="I381" s="428"/>
      <c r="J381" s="460"/>
      <c r="K381" s="461"/>
      <c r="L381" s="461"/>
      <c r="M381" s="461"/>
      <c r="N381" s="462"/>
      <c r="O381" s="749"/>
      <c r="P381" s="742"/>
      <c r="Q381" s="743"/>
      <c r="R381" s="741"/>
      <c r="S381" s="751"/>
      <c r="T381" s="758"/>
      <c r="U381" s="741"/>
      <c r="V381" s="564"/>
      <c r="W381" s="564"/>
      <c r="X381" s="749"/>
      <c r="Y381" s="744"/>
      <c r="Z381" s="743"/>
      <c r="AA381" s="741"/>
      <c r="AB381" s="391"/>
      <c r="AC381" s="401"/>
      <c r="AD381" s="92"/>
      <c r="AE381" s="92"/>
      <c r="AF381" s="92"/>
      <c r="AG381" s="426"/>
      <c r="AH381" s="405"/>
      <c r="AI381" s="405"/>
      <c r="AJ381" s="405"/>
      <c r="AK381" s="405"/>
      <c r="AL381" s="405"/>
      <c r="AM381" s="405"/>
      <c r="AN381" s="405"/>
      <c r="AO381" s="405"/>
      <c r="AP381" s="258" t="s">
        <v>696</v>
      </c>
      <c r="AQ381" s="258" t="s">
        <v>713</v>
      </c>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c r="BM381" s="281"/>
      <c r="BN381" s="281"/>
      <c r="BO381" s="281"/>
      <c r="BP381" s="281"/>
      <c r="BQ381" s="281"/>
      <c r="BR381" s="281"/>
      <c r="BS381" s="281"/>
      <c r="BT381" s="281"/>
      <c r="BU381" s="281"/>
      <c r="BV381" s="281"/>
      <c r="BW381" s="281"/>
      <c r="BX381" s="281"/>
      <c r="BY381" s="281"/>
      <c r="BZ381" s="281"/>
    </row>
    <row r="382" spans="1:78" x14ac:dyDescent="0.2">
      <c r="A382" s="422" t="s">
        <v>886</v>
      </c>
      <c r="B382" s="464" t="str">
        <f>IF(Stammblatt!$L$4=1,'Kalkulation Herstellungskosten'!AP382,'Kalkulation Herstellungskosten'!AQ382)</f>
        <v>Konvertierungen</v>
      </c>
      <c r="C382" s="424"/>
      <c r="D382" s="425"/>
      <c r="E382" s="37">
        <v>0</v>
      </c>
      <c r="F382" s="426"/>
      <c r="G382" s="426"/>
      <c r="H382" s="427"/>
      <c r="I382" s="428"/>
      <c r="J382" s="460"/>
      <c r="K382" s="461"/>
      <c r="L382" s="461"/>
      <c r="M382" s="461"/>
      <c r="N382" s="462"/>
      <c r="O382" s="749"/>
      <c r="P382" s="742"/>
      <c r="Q382" s="743"/>
      <c r="R382" s="741"/>
      <c r="S382" s="751"/>
      <c r="T382" s="758"/>
      <c r="U382" s="741"/>
      <c r="V382" s="564"/>
      <c r="W382" s="564"/>
      <c r="X382" s="749"/>
      <c r="Y382" s="744"/>
      <c r="Z382" s="743"/>
      <c r="AA382" s="741"/>
      <c r="AB382" s="391"/>
      <c r="AC382" s="401"/>
      <c r="AD382" s="92"/>
      <c r="AE382" s="92"/>
      <c r="AF382" s="92"/>
      <c r="AG382" s="426"/>
      <c r="AH382" s="405"/>
      <c r="AI382" s="405"/>
      <c r="AJ382" s="405"/>
      <c r="AK382" s="405"/>
      <c r="AL382" s="405"/>
      <c r="AM382" s="405"/>
      <c r="AN382" s="405"/>
      <c r="AO382" s="405"/>
      <c r="AP382" s="258" t="s">
        <v>697</v>
      </c>
      <c r="AQ382" s="258" t="s">
        <v>714</v>
      </c>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c r="BM382" s="281"/>
      <c r="BN382" s="281"/>
      <c r="BO382" s="281"/>
      <c r="BP382" s="281"/>
      <c r="BQ382" s="281"/>
      <c r="BR382" s="281"/>
      <c r="BS382" s="281"/>
      <c r="BT382" s="281"/>
      <c r="BU382" s="281"/>
      <c r="BV382" s="281"/>
      <c r="BW382" s="281"/>
      <c r="BX382" s="281"/>
      <c r="BY382" s="281"/>
      <c r="BZ382" s="281"/>
    </row>
    <row r="383" spans="1:78" x14ac:dyDescent="0.2">
      <c r="A383" s="422" t="s">
        <v>887</v>
      </c>
      <c r="B383" s="464" t="str">
        <f>IF(Stammblatt!$L$4=1,'Kalkulation Herstellungskosten'!AP383,'Kalkulation Herstellungskosten'!AQ383)</f>
        <v>Traileranfertigung</v>
      </c>
      <c r="C383" s="424"/>
      <c r="D383" s="425"/>
      <c r="E383" s="37">
        <v>0</v>
      </c>
      <c r="F383" s="426"/>
      <c r="G383" s="426"/>
      <c r="H383" s="427"/>
      <c r="I383" s="428"/>
      <c r="J383" s="460"/>
      <c r="K383" s="461"/>
      <c r="L383" s="461"/>
      <c r="M383" s="461"/>
      <c r="N383" s="462"/>
      <c r="O383" s="749"/>
      <c r="P383" s="742"/>
      <c r="Q383" s="743"/>
      <c r="R383" s="741"/>
      <c r="S383" s="751"/>
      <c r="T383" s="758"/>
      <c r="U383" s="741"/>
      <c r="V383" s="564"/>
      <c r="W383" s="564"/>
      <c r="X383" s="749"/>
      <c r="Y383" s="744"/>
      <c r="Z383" s="743"/>
      <c r="AA383" s="741"/>
      <c r="AB383" s="391"/>
      <c r="AC383" s="401"/>
      <c r="AD383" s="92"/>
      <c r="AE383" s="92"/>
      <c r="AF383" s="92"/>
      <c r="AG383" s="426"/>
      <c r="AH383" s="405"/>
      <c r="AI383" s="405"/>
      <c r="AJ383" s="405"/>
      <c r="AK383" s="405"/>
      <c r="AL383" s="405"/>
      <c r="AM383" s="405"/>
      <c r="AN383" s="405"/>
      <c r="AO383" s="405"/>
      <c r="AP383" s="258" t="s">
        <v>698</v>
      </c>
      <c r="AQ383" s="258" t="s">
        <v>715</v>
      </c>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c r="BM383" s="281"/>
      <c r="BN383" s="281"/>
      <c r="BO383" s="281"/>
      <c r="BP383" s="281"/>
      <c r="BQ383" s="281"/>
      <c r="BR383" s="281"/>
      <c r="BS383" s="281"/>
      <c r="BT383" s="281"/>
      <c r="BU383" s="281"/>
      <c r="BV383" s="281"/>
      <c r="BW383" s="281"/>
      <c r="BX383" s="281"/>
      <c r="BY383" s="281"/>
      <c r="BZ383" s="281"/>
    </row>
    <row r="384" spans="1:78" x14ac:dyDescent="0.2">
      <c r="A384" s="422" t="s">
        <v>888</v>
      </c>
      <c r="B384" s="464" t="str">
        <f>IF(Stammblatt!$L$4=1,'Kalkulation Herstellungskosten'!AP384,'Kalkulation Herstellungskosten'!AQ384)</f>
        <v>Sonstiges</v>
      </c>
      <c r="C384" s="424"/>
      <c r="D384" s="425"/>
      <c r="E384" s="37">
        <v>0</v>
      </c>
      <c r="F384" s="426"/>
      <c r="G384" s="426"/>
      <c r="H384" s="427"/>
      <c r="I384" s="428"/>
      <c r="J384" s="460"/>
      <c r="K384" s="461"/>
      <c r="L384" s="461"/>
      <c r="M384" s="461"/>
      <c r="N384" s="462"/>
      <c r="O384" s="749"/>
      <c r="P384" s="742"/>
      <c r="Q384" s="743"/>
      <c r="R384" s="741"/>
      <c r="S384" s="751"/>
      <c r="T384" s="758"/>
      <c r="U384" s="741"/>
      <c r="V384" s="564"/>
      <c r="W384" s="564"/>
      <c r="X384" s="749"/>
      <c r="Y384" s="744"/>
      <c r="Z384" s="743"/>
      <c r="AA384" s="741"/>
      <c r="AB384" s="391"/>
      <c r="AC384" s="401"/>
      <c r="AD384" s="92"/>
      <c r="AE384" s="92"/>
      <c r="AF384" s="92"/>
      <c r="AG384" s="426"/>
      <c r="AH384" s="405"/>
      <c r="AI384" s="405"/>
      <c r="AJ384" s="405"/>
      <c r="AK384" s="405"/>
      <c r="AL384" s="405"/>
      <c r="AM384" s="405"/>
      <c r="AN384" s="405"/>
      <c r="AO384" s="405"/>
      <c r="AP384" s="258" t="s">
        <v>686</v>
      </c>
      <c r="AQ384" s="258" t="s">
        <v>380</v>
      </c>
      <c r="AR384" s="281"/>
      <c r="AS384" s="281"/>
      <c r="AT384" s="281"/>
      <c r="AU384" s="281"/>
      <c r="AV384" s="281"/>
      <c r="AW384" s="281"/>
      <c r="AX384" s="281"/>
      <c r="AY384" s="281"/>
      <c r="AZ384" s="281"/>
      <c r="BA384" s="281"/>
      <c r="BB384" s="281"/>
      <c r="BC384" s="281"/>
      <c r="BD384" s="281"/>
      <c r="BE384" s="281"/>
      <c r="BF384" s="281"/>
      <c r="BG384" s="281"/>
      <c r="BH384" s="281"/>
      <c r="BI384" s="281"/>
      <c r="BJ384" s="281"/>
      <c r="BK384" s="281"/>
      <c r="BL384" s="281"/>
      <c r="BM384" s="281"/>
      <c r="BN384" s="281"/>
      <c r="BO384" s="281"/>
      <c r="BP384" s="281"/>
      <c r="BQ384" s="281"/>
      <c r="BR384" s="281"/>
      <c r="BS384" s="281"/>
      <c r="BT384" s="281"/>
      <c r="BU384" s="281"/>
      <c r="BV384" s="281"/>
      <c r="BW384" s="281"/>
      <c r="BX384" s="281"/>
      <c r="BY384" s="281"/>
      <c r="BZ384" s="281"/>
    </row>
    <row r="385" spans="1:78" x14ac:dyDescent="0.2">
      <c r="A385" s="422">
        <v>133</v>
      </c>
      <c r="B385" s="423" t="str">
        <f>IF(Stammblatt!$L$4=1,'Kalkulation Herstellungskosten'!AP385,'Kalkulation Herstellungskosten'!AQ385)</f>
        <v>Kopien &amp; DI-Master</v>
      </c>
      <c r="C385" s="424"/>
      <c r="D385" s="425"/>
      <c r="E385" s="426"/>
      <c r="F385" s="426"/>
      <c r="G385" s="426">
        <f>SUM(E386:E391)</f>
        <v>0</v>
      </c>
      <c r="H385" s="427"/>
      <c r="I385" s="428"/>
      <c r="J385" s="460"/>
      <c r="K385" s="461"/>
      <c r="L385" s="461"/>
      <c r="M385" s="461"/>
      <c r="N385" s="462"/>
      <c r="O385" s="749"/>
      <c r="P385" s="742"/>
      <c r="Q385" s="743"/>
      <c r="R385" s="741"/>
      <c r="S385" s="751"/>
      <c r="T385" s="758"/>
      <c r="U385" s="741"/>
      <c r="V385" s="564">
        <f t="shared" si="161"/>
        <v>0</v>
      </c>
      <c r="W385" s="564">
        <f>G385-V385</f>
        <v>0</v>
      </c>
      <c r="X385" s="749"/>
      <c r="Y385" s="744"/>
      <c r="Z385" s="743"/>
      <c r="AA385" s="741"/>
      <c r="AB385" s="391"/>
      <c r="AC385" s="401"/>
      <c r="AD385" s="92"/>
      <c r="AE385" s="92"/>
      <c r="AF385" s="92"/>
      <c r="AG385" s="426">
        <f>SUM(G385,AD385:AF385)</f>
        <v>0</v>
      </c>
      <c r="AH385" s="405"/>
      <c r="AI385" s="405"/>
      <c r="AJ385" s="405"/>
      <c r="AK385" s="405"/>
      <c r="AL385" s="405"/>
      <c r="AM385" s="405"/>
      <c r="AN385" s="405"/>
      <c r="AO385" s="405"/>
      <c r="AP385" s="258" t="s">
        <v>709</v>
      </c>
      <c r="AQ385" s="258" t="s">
        <v>708</v>
      </c>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c r="BM385" s="281"/>
      <c r="BN385" s="281"/>
      <c r="BO385" s="281"/>
      <c r="BP385" s="281"/>
      <c r="BQ385" s="281"/>
      <c r="BR385" s="281"/>
      <c r="BS385" s="281"/>
      <c r="BT385" s="281"/>
      <c r="BU385" s="281"/>
      <c r="BV385" s="281"/>
      <c r="BW385" s="281"/>
      <c r="BX385" s="281"/>
      <c r="BY385" s="281"/>
      <c r="BZ385" s="281"/>
    </row>
    <row r="386" spans="1:78" x14ac:dyDescent="0.2">
      <c r="A386" s="422" t="s">
        <v>701</v>
      </c>
      <c r="B386" s="464" t="str">
        <f>IF(Stammblatt!$L$4=1,'Kalkulation Herstellungskosten'!AP386,'Kalkulation Herstellungskosten'!AQ386)</f>
        <v>Filmkopien (Null-, Korrektur-, Archivkopie)</v>
      </c>
      <c r="C386" s="424"/>
      <c r="D386" s="425"/>
      <c r="E386" s="37">
        <v>0</v>
      </c>
      <c r="F386" s="426"/>
      <c r="G386" s="426"/>
      <c r="H386" s="427"/>
      <c r="I386" s="428"/>
      <c r="J386" s="460"/>
      <c r="K386" s="461"/>
      <c r="L386" s="461"/>
      <c r="M386" s="461"/>
      <c r="N386" s="462"/>
      <c r="O386" s="749"/>
      <c r="P386" s="742"/>
      <c r="Q386" s="743"/>
      <c r="R386" s="741"/>
      <c r="S386" s="751"/>
      <c r="T386" s="758"/>
      <c r="U386" s="741"/>
      <c r="V386" s="564"/>
      <c r="W386" s="564"/>
      <c r="X386" s="749"/>
      <c r="Y386" s="744"/>
      <c r="Z386" s="743"/>
      <c r="AA386" s="741"/>
      <c r="AB386" s="391"/>
      <c r="AC386" s="401"/>
      <c r="AD386" s="92"/>
      <c r="AE386" s="92"/>
      <c r="AF386" s="92"/>
      <c r="AG386" s="426"/>
      <c r="AH386" s="405"/>
      <c r="AI386" s="405"/>
      <c r="AJ386" s="405"/>
      <c r="AK386" s="405"/>
      <c r="AL386" s="405"/>
      <c r="AM386" s="405"/>
      <c r="AN386" s="405"/>
      <c r="AO386" s="405"/>
      <c r="AP386" s="258" t="s">
        <v>706</v>
      </c>
      <c r="AQ386" s="258" t="s">
        <v>716</v>
      </c>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1"/>
      <c r="BZ386" s="281"/>
    </row>
    <row r="387" spans="1:78" x14ac:dyDescent="0.2">
      <c r="A387" s="422" t="s">
        <v>702</v>
      </c>
      <c r="B387" s="464" t="str">
        <f>IF(Stammblatt!$L$4=1,'Kalkulation Herstellungskosten'!AP387,'Kalkulation Herstellungskosten'!AQ387)</f>
        <v>DCDM (Digital Cinema Distribution Master)</v>
      </c>
      <c r="C387" s="424"/>
      <c r="D387" s="425"/>
      <c r="E387" s="37">
        <v>0</v>
      </c>
      <c r="F387" s="426"/>
      <c r="G387" s="426"/>
      <c r="H387" s="427"/>
      <c r="I387" s="428"/>
      <c r="J387" s="460"/>
      <c r="K387" s="461"/>
      <c r="L387" s="461"/>
      <c r="M387" s="461"/>
      <c r="N387" s="462"/>
      <c r="O387" s="749"/>
      <c r="P387" s="742"/>
      <c r="Q387" s="743"/>
      <c r="R387" s="741"/>
      <c r="S387" s="751"/>
      <c r="T387" s="758"/>
      <c r="U387" s="741"/>
      <c r="V387" s="564"/>
      <c r="W387" s="564"/>
      <c r="X387" s="749"/>
      <c r="Y387" s="744"/>
      <c r="Z387" s="743"/>
      <c r="AA387" s="741"/>
      <c r="AB387" s="391"/>
      <c r="AC387" s="401"/>
      <c r="AD387" s="92"/>
      <c r="AE387" s="92"/>
      <c r="AF387" s="92"/>
      <c r="AG387" s="426"/>
      <c r="AH387" s="405"/>
      <c r="AI387" s="405"/>
      <c r="AJ387" s="405"/>
      <c r="AK387" s="405"/>
      <c r="AL387" s="405"/>
      <c r="AM387" s="405"/>
      <c r="AN387" s="405"/>
      <c r="AO387" s="405"/>
      <c r="AP387" s="258" t="s">
        <v>705</v>
      </c>
      <c r="AQ387" s="258" t="s">
        <v>705</v>
      </c>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row>
    <row r="388" spans="1:78" x14ac:dyDescent="0.2">
      <c r="A388" s="422" t="s">
        <v>703</v>
      </c>
      <c r="B388" s="464" t="str">
        <f>IF(Stammblatt!$L$4=1,'Kalkulation Herstellungskosten'!AP388,'Kalkulation Herstellungskosten'!AQ388)</f>
        <v>DCDM (Archivkopie, Filmarchiv Austria)</v>
      </c>
      <c r="C388" s="424"/>
      <c r="D388" s="425"/>
      <c r="E388" s="37">
        <v>0</v>
      </c>
      <c r="F388" s="426"/>
      <c r="G388" s="426"/>
      <c r="H388" s="427"/>
      <c r="I388" s="428"/>
      <c r="J388" s="460"/>
      <c r="K388" s="461"/>
      <c r="L388" s="461"/>
      <c r="M388" s="461"/>
      <c r="N388" s="462"/>
      <c r="O388" s="749"/>
      <c r="P388" s="742"/>
      <c r="Q388" s="743"/>
      <c r="R388" s="741"/>
      <c r="S388" s="751"/>
      <c r="T388" s="758"/>
      <c r="U388" s="741"/>
      <c r="V388" s="564"/>
      <c r="W388" s="564"/>
      <c r="X388" s="749"/>
      <c r="Y388" s="744"/>
      <c r="Z388" s="743"/>
      <c r="AA388" s="741"/>
      <c r="AB388" s="391"/>
      <c r="AC388" s="401"/>
      <c r="AD388" s="92"/>
      <c r="AE388" s="92"/>
      <c r="AF388" s="92"/>
      <c r="AG388" s="426"/>
      <c r="AH388" s="405"/>
      <c r="AI388" s="405"/>
      <c r="AJ388" s="405"/>
      <c r="AK388" s="405"/>
      <c r="AL388" s="405"/>
      <c r="AM388" s="405"/>
      <c r="AN388" s="405"/>
      <c r="AO388" s="405"/>
      <c r="AP388" s="258" t="s">
        <v>894</v>
      </c>
      <c r="AQ388" s="258" t="s">
        <v>896</v>
      </c>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row>
    <row r="389" spans="1:78" x14ac:dyDescent="0.2">
      <c r="A389" s="422" t="s">
        <v>704</v>
      </c>
      <c r="B389" s="464" t="str">
        <f>IF(Stammblatt!$L$4=1,'Kalkulation Herstellungskosten'!AP389,'Kalkulation Herstellungskosten'!AQ389)</f>
        <v>DCPs</v>
      </c>
      <c r="C389" s="424"/>
      <c r="D389" s="425"/>
      <c r="E389" s="37">
        <v>0</v>
      </c>
      <c r="F389" s="426"/>
      <c r="G389" s="426"/>
      <c r="H389" s="427"/>
      <c r="I389" s="428"/>
      <c r="J389" s="460"/>
      <c r="K389" s="461"/>
      <c r="L389" s="461"/>
      <c r="M389" s="461"/>
      <c r="N389" s="462"/>
      <c r="O389" s="749"/>
      <c r="P389" s="742"/>
      <c r="Q389" s="743"/>
      <c r="R389" s="741"/>
      <c r="S389" s="751"/>
      <c r="T389" s="758"/>
      <c r="U389" s="741"/>
      <c r="V389" s="564"/>
      <c r="W389" s="564"/>
      <c r="X389" s="749"/>
      <c r="Y389" s="744"/>
      <c r="Z389" s="743"/>
      <c r="AA389" s="741"/>
      <c r="AB389" s="391"/>
      <c r="AC389" s="401"/>
      <c r="AD389" s="92"/>
      <c r="AE389" s="92"/>
      <c r="AF389" s="92"/>
      <c r="AG389" s="426"/>
      <c r="AH389" s="405"/>
      <c r="AI389" s="405"/>
      <c r="AJ389" s="405"/>
      <c r="AK389" s="405"/>
      <c r="AL389" s="405"/>
      <c r="AM389" s="405"/>
      <c r="AN389" s="405"/>
      <c r="AO389" s="405"/>
      <c r="AP389" s="258" t="s">
        <v>895</v>
      </c>
      <c r="AQ389" s="258" t="s">
        <v>895</v>
      </c>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c r="BU389" s="281"/>
      <c r="BV389" s="281"/>
      <c r="BW389" s="281"/>
      <c r="BX389" s="281"/>
      <c r="BY389" s="281"/>
      <c r="BZ389" s="281"/>
    </row>
    <row r="390" spans="1:78" x14ac:dyDescent="0.2">
      <c r="A390" s="422" t="s">
        <v>889</v>
      </c>
      <c r="B390" s="464" t="str">
        <f>IF(Stammblatt!$L$4=1,'Kalkulation Herstellungskosten'!AP390,'Kalkulation Herstellungskosten'!AQ390)</f>
        <v>TV-Fassung</v>
      </c>
      <c r="C390" s="424"/>
      <c r="D390" s="425"/>
      <c r="E390" s="37">
        <v>0</v>
      </c>
      <c r="F390" s="426"/>
      <c r="G390" s="426"/>
      <c r="H390" s="427"/>
      <c r="I390" s="428"/>
      <c r="J390" s="460"/>
      <c r="K390" s="461"/>
      <c r="L390" s="461"/>
      <c r="M390" s="461"/>
      <c r="N390" s="462"/>
      <c r="O390" s="749"/>
      <c r="P390" s="742"/>
      <c r="Q390" s="743"/>
      <c r="R390" s="741"/>
      <c r="S390" s="751"/>
      <c r="T390" s="758"/>
      <c r="U390" s="741"/>
      <c r="V390" s="564"/>
      <c r="W390" s="564"/>
      <c r="X390" s="749"/>
      <c r="Y390" s="744"/>
      <c r="Z390" s="743"/>
      <c r="AA390" s="741"/>
      <c r="AB390" s="391"/>
      <c r="AC390" s="401"/>
      <c r="AD390" s="92"/>
      <c r="AE390" s="92"/>
      <c r="AF390" s="92"/>
      <c r="AG390" s="426"/>
      <c r="AH390" s="405"/>
      <c r="AI390" s="405"/>
      <c r="AJ390" s="405"/>
      <c r="AK390" s="405"/>
      <c r="AL390" s="405"/>
      <c r="AM390" s="405"/>
      <c r="AN390" s="405"/>
      <c r="AO390" s="405"/>
      <c r="AP390" s="258" t="s">
        <v>707</v>
      </c>
      <c r="AQ390" s="258" t="s">
        <v>717</v>
      </c>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row>
    <row r="391" spans="1:78" x14ac:dyDescent="0.2">
      <c r="A391" s="422" t="s">
        <v>890</v>
      </c>
      <c r="B391" s="464" t="str">
        <f>IF(Stammblatt!$L$4=1,'Kalkulation Herstellungskosten'!AP391,'Kalkulation Herstellungskosten'!AQ391)</f>
        <v>Sonstiges (Beleg- und Ansichtskopien, DVD, etc.)</v>
      </c>
      <c r="C391" s="424"/>
      <c r="D391" s="425"/>
      <c r="E391" s="37">
        <v>0</v>
      </c>
      <c r="F391" s="426"/>
      <c r="G391" s="426"/>
      <c r="H391" s="427"/>
      <c r="I391" s="428"/>
      <c r="J391" s="460"/>
      <c r="K391" s="461"/>
      <c r="L391" s="461"/>
      <c r="M391" s="461"/>
      <c r="N391" s="462"/>
      <c r="O391" s="749"/>
      <c r="P391" s="742"/>
      <c r="Q391" s="743"/>
      <c r="R391" s="741"/>
      <c r="S391" s="751"/>
      <c r="T391" s="758"/>
      <c r="U391" s="741"/>
      <c r="V391" s="564"/>
      <c r="W391" s="564"/>
      <c r="X391" s="749"/>
      <c r="Y391" s="744"/>
      <c r="Z391" s="743"/>
      <c r="AA391" s="741"/>
      <c r="AB391" s="391"/>
      <c r="AC391" s="401"/>
      <c r="AD391" s="92"/>
      <c r="AE391" s="92"/>
      <c r="AF391" s="92"/>
      <c r="AG391" s="426"/>
      <c r="AH391" s="405"/>
      <c r="AI391" s="405"/>
      <c r="AJ391" s="405"/>
      <c r="AK391" s="405"/>
      <c r="AL391" s="405"/>
      <c r="AM391" s="405"/>
      <c r="AN391" s="405"/>
      <c r="AO391" s="405"/>
      <c r="AP391" s="258" t="s">
        <v>710</v>
      </c>
      <c r="AQ391" s="258" t="s">
        <v>380</v>
      </c>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row>
    <row r="392" spans="1:78" x14ac:dyDescent="0.2">
      <c r="A392" s="422">
        <v>134</v>
      </c>
      <c r="B392" s="423" t="str">
        <f>IF(Stammblatt!$L$4=1,'Kalkulation Herstellungskosten'!AP392,'Kalkulation Herstellungskosten'!AQ392)</f>
        <v>Fotomaterial und Bearbeitung</v>
      </c>
      <c r="C392" s="424"/>
      <c r="D392" s="425"/>
      <c r="E392" s="426"/>
      <c r="F392" s="426"/>
      <c r="G392" s="37">
        <v>0</v>
      </c>
      <c r="H392" s="427"/>
      <c r="I392" s="428"/>
      <c r="J392" s="460"/>
      <c r="K392" s="461"/>
      <c r="L392" s="461"/>
      <c r="M392" s="461"/>
      <c r="N392" s="462"/>
      <c r="O392" s="749"/>
      <c r="P392" s="742"/>
      <c r="Q392" s="743"/>
      <c r="R392" s="741"/>
      <c r="S392" s="751"/>
      <c r="T392" s="758"/>
      <c r="U392" s="741"/>
      <c r="V392" s="564">
        <f t="shared" si="161"/>
        <v>0</v>
      </c>
      <c r="W392" s="564">
        <f>G392-V392</f>
        <v>0</v>
      </c>
      <c r="X392" s="749"/>
      <c r="Y392" s="744"/>
      <c r="Z392" s="743"/>
      <c r="AA392" s="741"/>
      <c r="AB392" s="391"/>
      <c r="AC392" s="401"/>
      <c r="AD392" s="92"/>
      <c r="AE392" s="92"/>
      <c r="AF392" s="92"/>
      <c r="AG392" s="426">
        <f>SUM(G392,AD392:AF392)</f>
        <v>0</v>
      </c>
      <c r="AH392" s="405"/>
      <c r="AI392" s="405"/>
      <c r="AJ392" s="405"/>
      <c r="AK392" s="405"/>
      <c r="AL392" s="405"/>
      <c r="AM392" s="405"/>
      <c r="AN392" s="405"/>
      <c r="AO392" s="405"/>
      <c r="AP392" s="258" t="s">
        <v>81</v>
      </c>
      <c r="AQ392" s="258" t="s">
        <v>411</v>
      </c>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c r="BM392" s="281"/>
      <c r="BN392" s="281"/>
      <c r="BO392" s="281"/>
      <c r="BP392" s="281"/>
      <c r="BQ392" s="281"/>
      <c r="BR392" s="281"/>
      <c r="BS392" s="281"/>
      <c r="BT392" s="281"/>
      <c r="BU392" s="281"/>
      <c r="BV392" s="281"/>
      <c r="BW392" s="281"/>
      <c r="BX392" s="281"/>
      <c r="BY392" s="281"/>
      <c r="BZ392" s="281"/>
    </row>
    <row r="393" spans="1:78" x14ac:dyDescent="0.2">
      <c r="A393" s="422">
        <v>135</v>
      </c>
      <c r="B393" s="423" t="str">
        <f>IF(Stammblatt!$L$4=1,'Kalkulation Herstellungskosten'!AP393,'Kalkulation Herstellungskosten'!AQ393)</f>
        <v>Barrierefreie Bearbeitung (verpflichtend)</v>
      </c>
      <c r="C393" s="399"/>
      <c r="D393" s="391"/>
      <c r="E393" s="400"/>
      <c r="F393" s="400"/>
      <c r="G393" s="281"/>
      <c r="H393" s="281"/>
      <c r="I393" s="457"/>
      <c r="J393" s="458"/>
      <c r="K393" s="281"/>
      <c r="L393" s="281"/>
      <c r="M393" s="281"/>
      <c r="N393" s="459"/>
      <c r="O393" s="435"/>
      <c r="P393" s="435"/>
      <c r="Q393" s="435"/>
      <c r="R393" s="435"/>
      <c r="S393" s="751"/>
      <c r="T393" s="746"/>
      <c r="U393" s="435"/>
      <c r="V393" s="435"/>
      <c r="W393" s="435"/>
      <c r="X393" s="435"/>
      <c r="Y393" s="435"/>
      <c r="Z393" s="435"/>
      <c r="AA393" s="435"/>
      <c r="AB393" s="391"/>
      <c r="AC393" s="401"/>
      <c r="AD393" s="281"/>
      <c r="AE393" s="281"/>
      <c r="AF393" s="281"/>
      <c r="AG393" s="281"/>
      <c r="AH393" s="405"/>
      <c r="AI393" s="405"/>
      <c r="AJ393" s="405"/>
      <c r="AK393" s="405"/>
      <c r="AL393" s="405"/>
      <c r="AM393" s="405"/>
      <c r="AN393" s="405"/>
      <c r="AO393" s="405"/>
      <c r="AP393" s="258" t="s">
        <v>681</v>
      </c>
      <c r="AQ393" s="258" t="s">
        <v>718</v>
      </c>
      <c r="AR393" s="281"/>
      <c r="AS393" s="281"/>
      <c r="AT393" s="281"/>
      <c r="AU393" s="281"/>
      <c r="AV393" s="281"/>
      <c r="AW393" s="281"/>
      <c r="AX393" s="281"/>
      <c r="AY393" s="281"/>
      <c r="AZ393" s="281"/>
      <c r="BA393" s="281"/>
      <c r="BB393" s="281"/>
      <c r="BC393" s="281"/>
      <c r="BD393" s="281"/>
      <c r="BE393" s="281"/>
      <c r="BF393" s="281"/>
      <c r="BG393" s="281"/>
      <c r="BH393" s="281"/>
      <c r="BI393" s="281"/>
      <c r="BJ393" s="281"/>
      <c r="BK393" s="281"/>
      <c r="BL393" s="281"/>
      <c r="BM393" s="281"/>
      <c r="BN393" s="281"/>
      <c r="BO393" s="281"/>
      <c r="BP393" s="281"/>
      <c r="BQ393" s="281"/>
      <c r="BR393" s="281"/>
      <c r="BS393" s="281"/>
      <c r="BT393" s="281"/>
      <c r="BU393" s="281"/>
      <c r="BV393" s="281"/>
      <c r="BW393" s="281"/>
      <c r="BX393" s="281"/>
      <c r="BY393" s="281"/>
      <c r="BZ393" s="281"/>
    </row>
    <row r="394" spans="1:78" x14ac:dyDescent="0.2">
      <c r="A394" s="465" t="s">
        <v>891</v>
      </c>
      <c r="B394" s="466" t="str">
        <f>IF(Stammblatt!$L$4=1,'Kalkulation Herstellungskosten'!AP394,'Kalkulation Herstellungskosten'!AQ394)</f>
        <v>hörbehindertengerechte dt. Untertitelung</v>
      </c>
      <c r="C394" s="424"/>
      <c r="D394" s="425"/>
      <c r="E394" s="426"/>
      <c r="F394" s="426"/>
      <c r="G394" s="37">
        <v>0</v>
      </c>
      <c r="H394" s="431"/>
      <c r="I394" s="394"/>
      <c r="J394" s="432"/>
      <c r="K394" s="431"/>
      <c r="L394" s="431"/>
      <c r="M394" s="431"/>
      <c r="N394" s="433"/>
      <c r="O394" s="749"/>
      <c r="P394" s="742"/>
      <c r="Q394" s="743"/>
      <c r="R394" s="741"/>
      <c r="S394" s="751"/>
      <c r="T394" s="758"/>
      <c r="U394" s="741"/>
      <c r="V394" s="564">
        <f t="shared" ref="V394:V395" si="164">SUM(T394:U394)</f>
        <v>0</v>
      </c>
      <c r="W394" s="564">
        <f>G394-V394</f>
        <v>0</v>
      </c>
      <c r="X394" s="749"/>
      <c r="Y394" s="744"/>
      <c r="Z394" s="743"/>
      <c r="AA394" s="741"/>
      <c r="AB394" s="391"/>
      <c r="AC394" s="401"/>
      <c r="AD394" s="92"/>
      <c r="AE394" s="92"/>
      <c r="AF394" s="92"/>
      <c r="AG394" s="426">
        <f>SUM(G394,AD394:AF394)</f>
        <v>0</v>
      </c>
      <c r="AH394" s="405"/>
      <c r="AI394" s="405"/>
      <c r="AJ394" s="405"/>
      <c r="AK394" s="405"/>
      <c r="AL394" s="405"/>
      <c r="AM394" s="405"/>
      <c r="AN394" s="405"/>
      <c r="AO394" s="405"/>
      <c r="AP394" s="258" t="s">
        <v>699</v>
      </c>
      <c r="AQ394" s="258" t="s">
        <v>719</v>
      </c>
      <c r="AR394" s="281"/>
      <c r="AS394" s="281"/>
      <c r="AT394" s="281"/>
      <c r="AU394" s="281"/>
      <c r="AV394" s="281"/>
      <c r="AW394" s="281"/>
      <c r="AX394" s="281"/>
      <c r="AY394" s="281"/>
      <c r="AZ394" s="281"/>
      <c r="BA394" s="281"/>
      <c r="BB394" s="281"/>
      <c r="BC394" s="281"/>
      <c r="BD394" s="281"/>
      <c r="BE394" s="281"/>
      <c r="BF394" s="281"/>
      <c r="BG394" s="281"/>
      <c r="BH394" s="281"/>
      <c r="BI394" s="281"/>
      <c r="BJ394" s="281"/>
      <c r="BK394" s="281"/>
      <c r="BL394" s="281"/>
      <c r="BM394" s="281"/>
      <c r="BN394" s="281"/>
      <c r="BO394" s="281"/>
      <c r="BP394" s="281"/>
      <c r="BQ394" s="281"/>
      <c r="BR394" s="281"/>
      <c r="BS394" s="281"/>
      <c r="BT394" s="281"/>
      <c r="BU394" s="281"/>
      <c r="BV394" s="281"/>
      <c r="BW394" s="281"/>
      <c r="BX394" s="281"/>
      <c r="BY394" s="281"/>
      <c r="BZ394" s="281"/>
    </row>
    <row r="395" spans="1:78" x14ac:dyDescent="0.2">
      <c r="A395" s="465" t="s">
        <v>892</v>
      </c>
      <c r="B395" s="466" t="str">
        <f>IF(Stammblatt!$L$4=1,'Kalkulation Herstellungskosten'!AP395,'Kalkulation Herstellungskosten'!AQ395)</f>
        <v>Audiodeskription</v>
      </c>
      <c r="C395" s="424"/>
      <c r="D395" s="425"/>
      <c r="E395" s="426"/>
      <c r="F395" s="426"/>
      <c r="G395" s="37">
        <v>0</v>
      </c>
      <c r="H395" s="431"/>
      <c r="I395" s="394"/>
      <c r="J395" s="432"/>
      <c r="K395" s="431"/>
      <c r="L395" s="431"/>
      <c r="M395" s="431"/>
      <c r="N395" s="433"/>
      <c r="O395" s="749"/>
      <c r="P395" s="742"/>
      <c r="Q395" s="743"/>
      <c r="R395" s="741"/>
      <c r="S395" s="751"/>
      <c r="T395" s="758"/>
      <c r="U395" s="741"/>
      <c r="V395" s="564">
        <f t="shared" si="164"/>
        <v>0</v>
      </c>
      <c r="W395" s="564">
        <f>G395-V395</f>
        <v>0</v>
      </c>
      <c r="X395" s="749"/>
      <c r="Y395" s="744"/>
      <c r="Z395" s="743"/>
      <c r="AA395" s="741"/>
      <c r="AB395" s="391"/>
      <c r="AC395" s="401"/>
      <c r="AD395" s="92"/>
      <c r="AE395" s="92"/>
      <c r="AF395" s="92"/>
      <c r="AG395" s="426">
        <f>SUM(G395,AD395:AF395)</f>
        <v>0</v>
      </c>
      <c r="AH395" s="405"/>
      <c r="AI395" s="405"/>
      <c r="AJ395" s="405"/>
      <c r="AK395" s="405"/>
      <c r="AL395" s="405"/>
      <c r="AM395" s="405"/>
      <c r="AN395" s="405"/>
      <c r="AO395" s="405"/>
      <c r="AP395" s="258" t="s">
        <v>700</v>
      </c>
      <c r="AQ395" s="258" t="s">
        <v>720</v>
      </c>
      <c r="AR395" s="281"/>
      <c r="AS395" s="281"/>
      <c r="AT395" s="281"/>
      <c r="AU395" s="281"/>
      <c r="AV395" s="281"/>
      <c r="AW395" s="281"/>
      <c r="AX395" s="281"/>
      <c r="AY395" s="281"/>
      <c r="AZ395" s="281"/>
      <c r="BA395" s="281"/>
      <c r="BB395" s="281"/>
      <c r="BC395" s="281"/>
      <c r="BD395" s="281"/>
      <c r="BE395" s="281"/>
      <c r="BF395" s="281"/>
      <c r="BG395" s="281"/>
      <c r="BH395" s="281"/>
      <c r="BI395" s="281"/>
      <c r="BJ395" s="281"/>
      <c r="BK395" s="281"/>
      <c r="BL395" s="281"/>
      <c r="BM395" s="281"/>
      <c r="BN395" s="281"/>
      <c r="BO395" s="281"/>
      <c r="BP395" s="281"/>
      <c r="BQ395" s="281"/>
      <c r="BR395" s="281"/>
      <c r="BS395" s="281"/>
      <c r="BT395" s="281"/>
      <c r="BU395" s="281"/>
      <c r="BV395" s="281"/>
      <c r="BW395" s="281"/>
      <c r="BX395" s="281"/>
      <c r="BY395" s="281"/>
      <c r="BZ395" s="281"/>
    </row>
    <row r="396" spans="1:78" x14ac:dyDescent="0.2">
      <c r="A396" s="398" t="s">
        <v>151</v>
      </c>
      <c r="B396" s="286"/>
      <c r="C396" s="399"/>
      <c r="D396" s="391"/>
      <c r="E396" s="400"/>
      <c r="F396" s="400"/>
      <c r="G396" s="400"/>
      <c r="H396" s="431"/>
      <c r="I396" s="394"/>
      <c r="J396" s="432"/>
      <c r="K396" s="431"/>
      <c r="L396" s="431"/>
      <c r="M396" s="431"/>
      <c r="N396" s="433"/>
      <c r="O396" s="745"/>
      <c r="P396" s="745"/>
      <c r="Q396" s="745"/>
      <c r="R396" s="745"/>
      <c r="S396" s="751"/>
      <c r="T396" s="746"/>
      <c r="U396" s="435"/>
      <c r="V396" s="435"/>
      <c r="W396" s="435"/>
      <c r="X396" s="745"/>
      <c r="Y396" s="745"/>
      <c r="Z396" s="745"/>
      <c r="AA396" s="745"/>
      <c r="AB396" s="391"/>
      <c r="AC396" s="401"/>
      <c r="AD396" s="400"/>
      <c r="AE396" s="400"/>
      <c r="AF396" s="400"/>
      <c r="AG396" s="281"/>
      <c r="AH396" s="405"/>
      <c r="AI396" s="405"/>
      <c r="AJ396" s="405"/>
      <c r="AK396" s="405"/>
      <c r="AL396" s="405"/>
      <c r="AM396" s="405"/>
      <c r="AN396" s="405"/>
      <c r="AO396" s="405"/>
      <c r="AP396" s="258"/>
      <c r="AQ396" s="258"/>
      <c r="AR396" s="281"/>
      <c r="AS396" s="281"/>
      <c r="AT396" s="281"/>
      <c r="AU396" s="281"/>
      <c r="AV396" s="281"/>
      <c r="AW396" s="281"/>
      <c r="AX396" s="281"/>
      <c r="AY396" s="281"/>
      <c r="AZ396" s="281"/>
      <c r="BA396" s="281"/>
      <c r="BB396" s="281"/>
      <c r="BC396" s="281"/>
      <c r="BD396" s="281"/>
      <c r="BE396" s="281"/>
      <c r="BF396" s="281"/>
      <c r="BG396" s="281"/>
      <c r="BH396" s="281"/>
      <c r="BI396" s="281"/>
      <c r="BJ396" s="281"/>
      <c r="BK396" s="281"/>
      <c r="BL396" s="281"/>
      <c r="BM396" s="281"/>
      <c r="BN396" s="281"/>
      <c r="BO396" s="281"/>
      <c r="BP396" s="281"/>
      <c r="BQ396" s="281"/>
      <c r="BR396" s="281"/>
      <c r="BS396" s="281"/>
      <c r="BT396" s="281"/>
      <c r="BU396" s="281"/>
      <c r="BV396" s="281"/>
      <c r="BW396" s="281"/>
      <c r="BX396" s="281"/>
      <c r="BY396" s="281"/>
      <c r="BZ396" s="281"/>
    </row>
    <row r="397" spans="1:78" x14ac:dyDescent="0.2">
      <c r="A397" s="112"/>
      <c r="B397" s="65" t="str">
        <f>IF(Stammblatt!$L$4=1,'Kalkulation Herstellungskosten'!AP397,'Kalkulation Herstellungskosten'!AQ397)</f>
        <v>Σ-Bild- und Tonmaterial, Bearbeitung</v>
      </c>
      <c r="C397" s="31"/>
      <c r="D397" s="40"/>
      <c r="E397" s="39"/>
      <c r="F397" s="39"/>
      <c r="G397" s="39">
        <f>SUM(G371:G396)</f>
        <v>0</v>
      </c>
      <c r="H397" s="39"/>
      <c r="I397" s="135"/>
      <c r="J397" s="143"/>
      <c r="K397" s="39"/>
      <c r="L397" s="39"/>
      <c r="M397" s="39"/>
      <c r="N397" s="141"/>
      <c r="O397" s="747">
        <f t="shared" ref="O397:P397" si="165">SUM(O371:O396)</f>
        <v>0</v>
      </c>
      <c r="P397" s="747">
        <f t="shared" si="165"/>
        <v>0</v>
      </c>
      <c r="Q397" s="747">
        <f t="shared" ref="Q397:R397" si="166">SUM(Q371:Q396)</f>
        <v>0</v>
      </c>
      <c r="R397" s="747">
        <f t="shared" si="166"/>
        <v>0</v>
      </c>
      <c r="S397" s="751"/>
      <c r="T397" s="748">
        <f>SUM(T371:T396)</f>
        <v>0</v>
      </c>
      <c r="U397" s="113">
        <f>SUM(U371:U396)</f>
        <v>0</v>
      </c>
      <c r="V397" s="113">
        <f>SUM(V371:V396)</f>
        <v>0</v>
      </c>
      <c r="W397" s="113">
        <f>ZS_8_Bild_Ton_Bearbeitung-V397</f>
        <v>0</v>
      </c>
      <c r="X397" s="747">
        <f t="shared" ref="X397" si="167">SUM(X371:X396)</f>
        <v>0</v>
      </c>
      <c r="Y397" s="747">
        <f t="shared" ref="Y397:AA397" si="168">SUM(Y371:Y396)</f>
        <v>0</v>
      </c>
      <c r="Z397" s="747">
        <f t="shared" si="168"/>
        <v>0</v>
      </c>
      <c r="AA397" s="747">
        <f t="shared" si="168"/>
        <v>0</v>
      </c>
      <c r="AB397" s="391"/>
      <c r="AC397" s="401"/>
      <c r="AD397" s="104">
        <f t="shared" ref="AD397:AF397" si="169">SUM(AD371:AD396)</f>
        <v>0</v>
      </c>
      <c r="AE397" s="104">
        <f t="shared" si="169"/>
        <v>0</v>
      </c>
      <c r="AF397" s="104">
        <f t="shared" si="169"/>
        <v>0</v>
      </c>
      <c r="AG397" s="39">
        <f>SUM(G397,AD397:AF397)</f>
        <v>0</v>
      </c>
      <c r="AH397" s="405"/>
      <c r="AI397" s="405"/>
      <c r="AJ397" s="405"/>
      <c r="AK397" s="405"/>
      <c r="AL397" s="405"/>
      <c r="AM397" s="405"/>
      <c r="AN397" s="405"/>
      <c r="AO397" s="405"/>
      <c r="AP397" s="258" t="s">
        <v>241</v>
      </c>
      <c r="AQ397" s="258" t="s">
        <v>412</v>
      </c>
      <c r="AR397" s="281"/>
      <c r="AS397" s="281"/>
      <c r="AT397" s="281"/>
      <c r="AU397" s="281"/>
      <c r="AV397" s="281"/>
      <c r="AW397" s="281"/>
      <c r="AX397" s="281"/>
      <c r="AY397" s="281"/>
      <c r="AZ397" s="281"/>
      <c r="BA397" s="281"/>
      <c r="BB397" s="281"/>
      <c r="BC397" s="281"/>
      <c r="BD397" s="281"/>
      <c r="BE397" s="281"/>
      <c r="BF397" s="281"/>
      <c r="BG397" s="281"/>
      <c r="BH397" s="281"/>
      <c r="BI397" s="281"/>
      <c r="BJ397" s="281"/>
      <c r="BK397" s="281"/>
      <c r="BL397" s="281"/>
      <c r="BM397" s="281"/>
      <c r="BN397" s="281"/>
      <c r="BO397" s="281"/>
      <c r="BP397" s="281"/>
      <c r="BQ397" s="281"/>
      <c r="BR397" s="281"/>
      <c r="BS397" s="281"/>
      <c r="BT397" s="281"/>
      <c r="BU397" s="281"/>
      <c r="BV397" s="281"/>
      <c r="BW397" s="281"/>
      <c r="BX397" s="281"/>
      <c r="BY397" s="281"/>
      <c r="BZ397" s="281"/>
    </row>
    <row r="398" spans="1:78" x14ac:dyDescent="0.2">
      <c r="A398" s="398"/>
      <c r="B398" s="286"/>
      <c r="C398" s="399"/>
      <c r="D398" s="391"/>
      <c r="E398" s="400"/>
      <c r="F398" s="400"/>
      <c r="G398" s="400"/>
      <c r="H398" s="431"/>
      <c r="I398" s="394"/>
      <c r="J398" s="432"/>
      <c r="K398" s="431"/>
      <c r="L398" s="431"/>
      <c r="M398" s="431"/>
      <c r="N398" s="433"/>
      <c r="O398" s="745"/>
      <c r="P398" s="745"/>
      <c r="Q398" s="745"/>
      <c r="R398" s="745"/>
      <c r="S398" s="751"/>
      <c r="T398" s="746"/>
      <c r="U398" s="435"/>
      <c r="V398" s="435"/>
      <c r="W398" s="435"/>
      <c r="X398" s="435"/>
      <c r="Y398" s="745"/>
      <c r="Z398" s="745"/>
      <c r="AA398" s="745"/>
      <c r="AB398" s="391"/>
      <c r="AC398" s="401"/>
      <c r="AD398" s="400"/>
      <c r="AE398" s="400"/>
      <c r="AF398" s="400"/>
      <c r="AG398" s="281"/>
      <c r="AH398" s="405"/>
      <c r="AI398" s="405"/>
      <c r="AJ398" s="405"/>
      <c r="AK398" s="405"/>
      <c r="AL398" s="405"/>
      <c r="AM398" s="405"/>
      <c r="AN398" s="405"/>
      <c r="AO398" s="405"/>
      <c r="AP398" s="258"/>
      <c r="AQ398" s="258"/>
      <c r="AR398" s="281"/>
      <c r="AS398" s="281"/>
      <c r="AT398" s="281"/>
      <c r="AU398" s="281"/>
      <c r="AV398" s="281"/>
      <c r="AW398" s="281"/>
      <c r="AX398" s="281"/>
      <c r="AY398" s="281"/>
      <c r="AZ398" s="281"/>
      <c r="BA398" s="281"/>
      <c r="BB398" s="281"/>
      <c r="BC398" s="281"/>
      <c r="BD398" s="281"/>
      <c r="BE398" s="281"/>
      <c r="BF398" s="281"/>
      <c r="BG398" s="281"/>
      <c r="BH398" s="281"/>
      <c r="BI398" s="281"/>
      <c r="BJ398" s="281"/>
      <c r="BK398" s="281"/>
      <c r="BL398" s="281"/>
      <c r="BM398" s="281"/>
      <c r="BN398" s="281"/>
      <c r="BO398" s="281"/>
      <c r="BP398" s="281"/>
      <c r="BQ398" s="281"/>
      <c r="BR398" s="281"/>
      <c r="BS398" s="281"/>
      <c r="BT398" s="281"/>
      <c r="BU398" s="281"/>
      <c r="BV398" s="281"/>
      <c r="BW398" s="281"/>
      <c r="BX398" s="281"/>
      <c r="BY398" s="281"/>
      <c r="BZ398" s="281"/>
    </row>
    <row r="399" spans="1:78" x14ac:dyDescent="0.2">
      <c r="A399" s="398"/>
      <c r="B399" s="286"/>
      <c r="C399" s="399"/>
      <c r="D399" s="391"/>
      <c r="E399" s="400"/>
      <c r="F399" s="400"/>
      <c r="G399" s="400"/>
      <c r="H399" s="431"/>
      <c r="I399" s="394"/>
      <c r="J399" s="432"/>
      <c r="K399" s="431"/>
      <c r="L399" s="431"/>
      <c r="M399" s="431"/>
      <c r="N399" s="433"/>
      <c r="O399" s="745"/>
      <c r="P399" s="745"/>
      <c r="Q399" s="745"/>
      <c r="R399" s="745"/>
      <c r="S399" s="751"/>
      <c r="T399" s="746"/>
      <c r="U399" s="435"/>
      <c r="V399" s="435"/>
      <c r="W399" s="435"/>
      <c r="X399" s="435"/>
      <c r="Y399" s="745"/>
      <c r="Z399" s="745"/>
      <c r="AA399" s="745"/>
      <c r="AB399" s="391"/>
      <c r="AC399" s="401"/>
      <c r="AD399" s="400"/>
      <c r="AE399" s="400"/>
      <c r="AF399" s="400"/>
      <c r="AG399" s="281"/>
      <c r="AH399" s="405"/>
      <c r="AI399" s="405"/>
      <c r="AJ399" s="405"/>
      <c r="AK399" s="405"/>
      <c r="AL399" s="405"/>
      <c r="AM399" s="405"/>
      <c r="AN399" s="405"/>
      <c r="AO399" s="405"/>
      <c r="AP399" s="258"/>
      <c r="AQ399" s="258"/>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c r="BM399" s="281"/>
      <c r="BN399" s="281"/>
      <c r="BO399" s="281"/>
      <c r="BP399" s="281"/>
      <c r="BQ399" s="281"/>
      <c r="BR399" s="281"/>
      <c r="BS399" s="281"/>
      <c r="BT399" s="281"/>
      <c r="BU399" s="281"/>
      <c r="BV399" s="281"/>
      <c r="BW399" s="281"/>
      <c r="BX399" s="281"/>
      <c r="BY399" s="281"/>
      <c r="BZ399" s="281"/>
    </row>
    <row r="400" spans="1:78" s="25" customFormat="1" x14ac:dyDescent="0.2">
      <c r="A400" s="406"/>
      <c r="B400" s="296" t="str">
        <f>IF(Stammblatt!$L$4=1,'Kalkulation Herstellungskosten'!AP400,'Kalkulation Herstellungskosten'!AQ400)</f>
        <v>9. Versicherungen</v>
      </c>
      <c r="C400" s="403"/>
      <c r="D400" s="407"/>
      <c r="E400" s="408"/>
      <c r="F400" s="408"/>
      <c r="G400" s="408"/>
      <c r="H400" s="401"/>
      <c r="I400" s="402"/>
      <c r="J400" s="409"/>
      <c r="K400" s="401"/>
      <c r="L400" s="401"/>
      <c r="M400" s="401"/>
      <c r="N400" s="410"/>
      <c r="O400" s="737"/>
      <c r="P400" s="737"/>
      <c r="Q400" s="737"/>
      <c r="R400" s="737"/>
      <c r="S400" s="751"/>
      <c r="T400" s="740"/>
      <c r="U400" s="441"/>
      <c r="V400" s="441"/>
      <c r="W400" s="441"/>
      <c r="X400" s="441"/>
      <c r="Y400" s="737"/>
      <c r="Z400" s="737"/>
      <c r="AA400" s="737"/>
      <c r="AB400" s="391"/>
      <c r="AC400" s="401"/>
      <c r="AD400" s="408"/>
      <c r="AE400" s="408"/>
      <c r="AF400" s="408"/>
      <c r="AG400" s="411"/>
      <c r="AH400" s="405"/>
      <c r="AI400" s="405"/>
      <c r="AJ400" s="405"/>
      <c r="AK400" s="405"/>
      <c r="AL400" s="405"/>
      <c r="AM400" s="405"/>
      <c r="AN400" s="405"/>
      <c r="AO400" s="405"/>
      <c r="AP400" s="258" t="s">
        <v>82</v>
      </c>
      <c r="AQ400" s="258" t="s">
        <v>413</v>
      </c>
      <c r="AR400" s="411"/>
      <c r="AS400" s="411"/>
      <c r="AT400" s="411"/>
      <c r="AU400" s="411"/>
      <c r="AV400" s="411"/>
      <c r="AW400" s="411"/>
      <c r="AX400" s="411"/>
      <c r="AY400" s="411"/>
      <c r="AZ400" s="411"/>
      <c r="BA400" s="411"/>
      <c r="BB400" s="411"/>
      <c r="BC400" s="411"/>
      <c r="BD400" s="411"/>
      <c r="BE400" s="411"/>
      <c r="BF400" s="411"/>
      <c r="BG400" s="411"/>
      <c r="BH400" s="411"/>
      <c r="BI400" s="411"/>
      <c r="BJ400" s="411"/>
      <c r="BK400" s="411"/>
      <c r="BL400" s="411"/>
      <c r="BM400" s="411"/>
      <c r="BN400" s="411"/>
      <c r="BO400" s="411"/>
      <c r="BP400" s="411"/>
      <c r="BQ400" s="411"/>
      <c r="BR400" s="411"/>
      <c r="BS400" s="411"/>
      <c r="BT400" s="411"/>
      <c r="BU400" s="411"/>
      <c r="BV400" s="411"/>
      <c r="BW400" s="411"/>
      <c r="BX400" s="411"/>
      <c r="BY400" s="411"/>
      <c r="BZ400" s="411"/>
    </row>
    <row r="401" spans="1:78" x14ac:dyDescent="0.2">
      <c r="A401" s="422">
        <v>136</v>
      </c>
      <c r="B401" s="423" t="str">
        <f>IF(Stammblatt!$L$4=1,'Kalkulation Herstellungskosten'!AP401,'Kalkulation Herstellungskosten'!AQ401)</f>
        <v>Filmbündelversicherung</v>
      </c>
      <c r="C401" s="424"/>
      <c r="D401" s="425"/>
      <c r="E401" s="426"/>
      <c r="F401" s="426"/>
      <c r="G401" s="37">
        <v>0</v>
      </c>
      <c r="H401" s="427"/>
      <c r="I401" s="428"/>
      <c r="J401" s="429"/>
      <c r="K401" s="427"/>
      <c r="L401" s="427"/>
      <c r="M401" s="427"/>
      <c r="N401" s="430"/>
      <c r="O401" s="749"/>
      <c r="P401" s="742"/>
      <c r="Q401" s="743"/>
      <c r="R401" s="741"/>
      <c r="S401" s="751"/>
      <c r="T401" s="758"/>
      <c r="U401" s="741"/>
      <c r="V401" s="808">
        <f t="shared" ref="V401:V408" si="170">SUM(T401:U401)</f>
        <v>0</v>
      </c>
      <c r="W401" s="808">
        <f t="shared" ref="W401:W408" si="171">G401-V401</f>
        <v>0</v>
      </c>
      <c r="X401" s="749"/>
      <c r="Y401" s="744"/>
      <c r="Z401" s="743"/>
      <c r="AA401" s="741"/>
      <c r="AB401" s="391"/>
      <c r="AC401" s="401"/>
      <c r="AD401" s="92"/>
      <c r="AE401" s="92"/>
      <c r="AF401" s="92"/>
      <c r="AG401" s="426">
        <f t="shared" ref="AG401:AG408" si="172">SUM(G401,AD401:AF401)</f>
        <v>0</v>
      </c>
      <c r="AH401" s="405"/>
      <c r="AI401" s="405"/>
      <c r="AJ401" s="405"/>
      <c r="AK401" s="405"/>
      <c r="AL401" s="405"/>
      <c r="AM401" s="405"/>
      <c r="AN401" s="405"/>
      <c r="AO401" s="405"/>
      <c r="AP401" s="258" t="s">
        <v>679</v>
      </c>
      <c r="AQ401" s="258" t="s">
        <v>680</v>
      </c>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c r="BM401" s="281"/>
      <c r="BN401" s="281"/>
      <c r="BO401" s="281"/>
      <c r="BP401" s="281"/>
      <c r="BQ401" s="281"/>
      <c r="BR401" s="281"/>
      <c r="BS401" s="281"/>
      <c r="BT401" s="281"/>
      <c r="BU401" s="281"/>
      <c r="BV401" s="281"/>
      <c r="BW401" s="281"/>
      <c r="BX401" s="281"/>
      <c r="BY401" s="281"/>
      <c r="BZ401" s="281"/>
    </row>
    <row r="402" spans="1:78" x14ac:dyDescent="0.2">
      <c r="A402" s="422">
        <v>137</v>
      </c>
      <c r="B402" s="423" t="str">
        <f>IF(Stammblatt!$L$4=1,'Kalkulation Herstellungskosten'!AP402,'Kalkulation Herstellungskosten'!AQ402)</f>
        <v>Ausfallversicherung</v>
      </c>
      <c r="C402" s="424"/>
      <c r="D402" s="425"/>
      <c r="E402" s="426"/>
      <c r="F402" s="426"/>
      <c r="G402" s="37">
        <v>0</v>
      </c>
      <c r="H402" s="427"/>
      <c r="I402" s="428"/>
      <c r="J402" s="460"/>
      <c r="K402" s="461"/>
      <c r="L402" s="461"/>
      <c r="M402" s="461"/>
      <c r="N402" s="462"/>
      <c r="O402" s="749"/>
      <c r="P402" s="742"/>
      <c r="Q402" s="743"/>
      <c r="R402" s="741"/>
      <c r="S402" s="751"/>
      <c r="T402" s="758"/>
      <c r="U402" s="741"/>
      <c r="V402" s="808">
        <f t="shared" ref="V402" si="173">SUM(T402:U402)</f>
        <v>0</v>
      </c>
      <c r="W402" s="808">
        <f t="shared" si="171"/>
        <v>0</v>
      </c>
      <c r="X402" s="749"/>
      <c r="Y402" s="744"/>
      <c r="Z402" s="743"/>
      <c r="AA402" s="741"/>
      <c r="AB402" s="391"/>
      <c r="AC402" s="401"/>
      <c r="AD402" s="92"/>
      <c r="AE402" s="92"/>
      <c r="AF402" s="92"/>
      <c r="AG402" s="426">
        <f t="shared" si="172"/>
        <v>0</v>
      </c>
      <c r="AH402" s="405"/>
      <c r="AI402" s="405"/>
      <c r="AJ402" s="405"/>
      <c r="AK402" s="405"/>
      <c r="AL402" s="405"/>
      <c r="AM402" s="405"/>
      <c r="AN402" s="405"/>
      <c r="AO402" s="405"/>
      <c r="AP402" s="258" t="s">
        <v>83</v>
      </c>
      <c r="AQ402" s="258" t="s">
        <v>502</v>
      </c>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c r="BM402" s="281"/>
      <c r="BN402" s="281"/>
      <c r="BO402" s="281"/>
      <c r="BP402" s="281"/>
      <c r="BQ402" s="281"/>
      <c r="BR402" s="281"/>
      <c r="BS402" s="281"/>
      <c r="BT402" s="281"/>
      <c r="BU402" s="281"/>
      <c r="BV402" s="281"/>
      <c r="BW402" s="281"/>
      <c r="BX402" s="281"/>
      <c r="BY402" s="281"/>
      <c r="BZ402" s="281"/>
    </row>
    <row r="403" spans="1:78" x14ac:dyDescent="0.2">
      <c r="A403" s="422">
        <v>138</v>
      </c>
      <c r="B403" s="423" t="str">
        <f>IF(Stammblatt!$L$4=1,'Kalkulation Herstellungskosten'!AP403,'Kalkulation Herstellungskosten'!AQ403)</f>
        <v>Negativversicherung</v>
      </c>
      <c r="C403" s="424"/>
      <c r="D403" s="425"/>
      <c r="E403" s="426"/>
      <c r="F403" s="426"/>
      <c r="G403" s="37">
        <v>0</v>
      </c>
      <c r="H403" s="427"/>
      <c r="I403" s="428"/>
      <c r="J403" s="460"/>
      <c r="K403" s="461"/>
      <c r="L403" s="461"/>
      <c r="M403" s="461"/>
      <c r="N403" s="462"/>
      <c r="O403" s="749"/>
      <c r="P403" s="742"/>
      <c r="Q403" s="743"/>
      <c r="R403" s="741"/>
      <c r="S403" s="751"/>
      <c r="T403" s="758"/>
      <c r="U403" s="741"/>
      <c r="V403" s="808">
        <f t="shared" si="170"/>
        <v>0</v>
      </c>
      <c r="W403" s="808">
        <f t="shared" si="171"/>
        <v>0</v>
      </c>
      <c r="X403" s="749"/>
      <c r="Y403" s="744"/>
      <c r="Z403" s="743"/>
      <c r="AA403" s="741"/>
      <c r="AB403" s="391"/>
      <c r="AC403" s="401"/>
      <c r="AD403" s="92"/>
      <c r="AE403" s="92"/>
      <c r="AF403" s="92"/>
      <c r="AG403" s="426">
        <f t="shared" si="172"/>
        <v>0</v>
      </c>
      <c r="AH403" s="405"/>
      <c r="AI403" s="405"/>
      <c r="AJ403" s="405"/>
      <c r="AK403" s="405"/>
      <c r="AL403" s="405"/>
      <c r="AM403" s="405"/>
      <c r="AN403" s="405"/>
      <c r="AO403" s="405"/>
      <c r="AP403" s="258" t="s">
        <v>84</v>
      </c>
      <c r="AQ403" s="258" t="s">
        <v>414</v>
      </c>
      <c r="AR403" s="281"/>
      <c r="AS403" s="281"/>
      <c r="AT403" s="281"/>
      <c r="AU403" s="281"/>
      <c r="AV403" s="281"/>
      <c r="AW403" s="281"/>
      <c r="AX403" s="281"/>
      <c r="AY403" s="281"/>
      <c r="AZ403" s="281"/>
      <c r="BA403" s="281"/>
      <c r="BB403" s="281"/>
      <c r="BC403" s="281"/>
      <c r="BD403" s="281"/>
      <c r="BE403" s="281"/>
      <c r="BF403" s="281"/>
      <c r="BG403" s="281"/>
      <c r="BH403" s="281"/>
      <c r="BI403" s="281"/>
      <c r="BJ403" s="281"/>
      <c r="BK403" s="281"/>
      <c r="BL403" s="281"/>
      <c r="BM403" s="281"/>
      <c r="BN403" s="281"/>
      <c r="BO403" s="281"/>
      <c r="BP403" s="281"/>
      <c r="BQ403" s="281"/>
      <c r="BR403" s="281"/>
      <c r="BS403" s="281"/>
      <c r="BT403" s="281"/>
      <c r="BU403" s="281"/>
      <c r="BV403" s="281"/>
      <c r="BW403" s="281"/>
      <c r="BX403" s="281"/>
      <c r="BY403" s="281"/>
      <c r="BZ403" s="281"/>
    </row>
    <row r="404" spans="1:78" x14ac:dyDescent="0.2">
      <c r="A404" s="422">
        <v>139</v>
      </c>
      <c r="B404" s="423" t="str">
        <f>IF(Stammblatt!$L$4=1,'Kalkulation Herstellungskosten'!AP404,'Kalkulation Herstellungskosten'!AQ404)</f>
        <v>Geräteversicherung</v>
      </c>
      <c r="C404" s="424"/>
      <c r="D404" s="425"/>
      <c r="E404" s="426"/>
      <c r="F404" s="426"/>
      <c r="G404" s="37">
        <v>0</v>
      </c>
      <c r="H404" s="427"/>
      <c r="I404" s="428"/>
      <c r="J404" s="460"/>
      <c r="K404" s="461"/>
      <c r="L404" s="461"/>
      <c r="M404" s="461"/>
      <c r="N404" s="462"/>
      <c r="O404" s="749"/>
      <c r="P404" s="742"/>
      <c r="Q404" s="743"/>
      <c r="R404" s="741"/>
      <c r="S404" s="751"/>
      <c r="T404" s="758"/>
      <c r="U404" s="741"/>
      <c r="V404" s="808">
        <f t="shared" si="170"/>
        <v>0</v>
      </c>
      <c r="W404" s="808">
        <f t="shared" si="171"/>
        <v>0</v>
      </c>
      <c r="X404" s="749"/>
      <c r="Y404" s="744"/>
      <c r="Z404" s="743"/>
      <c r="AA404" s="741"/>
      <c r="AB404" s="391"/>
      <c r="AC404" s="401"/>
      <c r="AD404" s="92"/>
      <c r="AE404" s="92"/>
      <c r="AF404" s="92"/>
      <c r="AG404" s="426">
        <f t="shared" si="172"/>
        <v>0</v>
      </c>
      <c r="AH404" s="405"/>
      <c r="AI404" s="405"/>
      <c r="AJ404" s="405"/>
      <c r="AK404" s="405"/>
      <c r="AL404" s="405"/>
      <c r="AM404" s="405"/>
      <c r="AN404" s="405"/>
      <c r="AO404" s="405"/>
      <c r="AP404" s="258" t="s">
        <v>85</v>
      </c>
      <c r="AQ404" s="258" t="s">
        <v>415</v>
      </c>
      <c r="AR404" s="281"/>
      <c r="AS404" s="281"/>
      <c r="AT404" s="281"/>
      <c r="AU404" s="281"/>
      <c r="AV404" s="281"/>
      <c r="AW404" s="281"/>
      <c r="AX404" s="281"/>
      <c r="AY404" s="281"/>
      <c r="AZ404" s="281"/>
      <c r="BA404" s="281"/>
      <c r="BB404" s="281"/>
      <c r="BC404" s="281"/>
      <c r="BD404" s="281"/>
      <c r="BE404" s="281"/>
      <c r="BF404" s="281"/>
      <c r="BG404" s="281"/>
      <c r="BH404" s="281"/>
      <c r="BI404" s="281"/>
      <c r="BJ404" s="281"/>
      <c r="BK404" s="281"/>
      <c r="BL404" s="281"/>
      <c r="BM404" s="281"/>
      <c r="BN404" s="281"/>
      <c r="BO404" s="281"/>
      <c r="BP404" s="281"/>
      <c r="BQ404" s="281"/>
      <c r="BR404" s="281"/>
      <c r="BS404" s="281"/>
      <c r="BT404" s="281"/>
      <c r="BU404" s="281"/>
      <c r="BV404" s="281"/>
      <c r="BW404" s="281"/>
      <c r="BX404" s="281"/>
      <c r="BY404" s="281"/>
      <c r="BZ404" s="281"/>
    </row>
    <row r="405" spans="1:78" x14ac:dyDescent="0.2">
      <c r="A405" s="422">
        <v>140</v>
      </c>
      <c r="B405" s="423" t="str">
        <f>IF(Stammblatt!$L$4=1,'Kalkulation Herstellungskosten'!AP405,'Kalkulation Herstellungskosten'!AQ405)</f>
        <v>Haftpflichtversicherung</v>
      </c>
      <c r="C405" s="424"/>
      <c r="D405" s="425"/>
      <c r="E405" s="426"/>
      <c r="F405" s="426"/>
      <c r="G405" s="37">
        <v>0</v>
      </c>
      <c r="H405" s="427"/>
      <c r="I405" s="428"/>
      <c r="J405" s="460"/>
      <c r="K405" s="461"/>
      <c r="L405" s="461"/>
      <c r="M405" s="461"/>
      <c r="N405" s="462"/>
      <c r="O405" s="749"/>
      <c r="P405" s="742"/>
      <c r="Q405" s="743"/>
      <c r="R405" s="741"/>
      <c r="S405" s="751"/>
      <c r="T405" s="758"/>
      <c r="U405" s="741"/>
      <c r="V405" s="808">
        <f t="shared" si="170"/>
        <v>0</v>
      </c>
      <c r="W405" s="808">
        <f t="shared" si="171"/>
        <v>0</v>
      </c>
      <c r="X405" s="749"/>
      <c r="Y405" s="744"/>
      <c r="Z405" s="743"/>
      <c r="AA405" s="741"/>
      <c r="AB405" s="391"/>
      <c r="AC405" s="401"/>
      <c r="AD405" s="92"/>
      <c r="AE405" s="92"/>
      <c r="AF405" s="92"/>
      <c r="AG405" s="426">
        <f t="shared" si="172"/>
        <v>0</v>
      </c>
      <c r="AH405" s="405"/>
      <c r="AI405" s="405"/>
      <c r="AJ405" s="405"/>
      <c r="AK405" s="405"/>
      <c r="AL405" s="405"/>
      <c r="AM405" s="405"/>
      <c r="AN405" s="405"/>
      <c r="AO405" s="405"/>
      <c r="AP405" s="258" t="s">
        <v>86</v>
      </c>
      <c r="AQ405" s="258" t="s">
        <v>416</v>
      </c>
      <c r="AR405" s="281"/>
      <c r="AS405" s="281"/>
      <c r="AT405" s="281"/>
      <c r="AU405" s="281"/>
      <c r="AV405" s="281"/>
      <c r="AW405" s="281"/>
      <c r="AX405" s="281"/>
      <c r="AY405" s="281"/>
      <c r="AZ405" s="281"/>
      <c r="BA405" s="281"/>
      <c r="BB405" s="281"/>
      <c r="BC405" s="281"/>
      <c r="BD405" s="281"/>
      <c r="BE405" s="281"/>
      <c r="BF405" s="281"/>
      <c r="BG405" s="281"/>
      <c r="BH405" s="281"/>
      <c r="BI405" s="281"/>
      <c r="BJ405" s="281"/>
      <c r="BK405" s="281"/>
      <c r="BL405" s="281"/>
      <c r="BM405" s="281"/>
      <c r="BN405" s="281"/>
      <c r="BO405" s="281"/>
      <c r="BP405" s="281"/>
      <c r="BQ405" s="281"/>
      <c r="BR405" s="281"/>
      <c r="BS405" s="281"/>
      <c r="BT405" s="281"/>
      <c r="BU405" s="281"/>
      <c r="BV405" s="281"/>
      <c r="BW405" s="281"/>
      <c r="BX405" s="281"/>
      <c r="BY405" s="281"/>
      <c r="BZ405" s="281"/>
    </row>
    <row r="406" spans="1:78" x14ac:dyDescent="0.2">
      <c r="A406" s="422">
        <v>141</v>
      </c>
      <c r="B406" s="423" t="str">
        <f>IF(Stammblatt!$L$4=1,'Kalkulation Herstellungskosten'!AP406,'Kalkulation Herstellungskosten'!AQ406)</f>
        <v>Reisegepäckversicherung</v>
      </c>
      <c r="C406" s="424"/>
      <c r="D406" s="425"/>
      <c r="E406" s="426"/>
      <c r="F406" s="426"/>
      <c r="G406" s="37">
        <v>0</v>
      </c>
      <c r="H406" s="427"/>
      <c r="I406" s="428"/>
      <c r="J406" s="460"/>
      <c r="K406" s="461"/>
      <c r="L406" s="461"/>
      <c r="M406" s="461"/>
      <c r="N406" s="462"/>
      <c r="O406" s="749"/>
      <c r="P406" s="742"/>
      <c r="Q406" s="743"/>
      <c r="R406" s="741"/>
      <c r="S406" s="751"/>
      <c r="T406" s="758"/>
      <c r="U406" s="741"/>
      <c r="V406" s="808">
        <f t="shared" si="170"/>
        <v>0</v>
      </c>
      <c r="W406" s="808">
        <f t="shared" si="171"/>
        <v>0</v>
      </c>
      <c r="X406" s="749"/>
      <c r="Y406" s="744"/>
      <c r="Z406" s="743"/>
      <c r="AA406" s="741"/>
      <c r="AB406" s="391"/>
      <c r="AC406" s="401"/>
      <c r="AD406" s="92"/>
      <c r="AE406" s="92"/>
      <c r="AF406" s="92"/>
      <c r="AG406" s="426">
        <f t="shared" si="172"/>
        <v>0</v>
      </c>
      <c r="AH406" s="405"/>
      <c r="AI406" s="405"/>
      <c r="AJ406" s="405"/>
      <c r="AK406" s="405"/>
      <c r="AL406" s="405"/>
      <c r="AM406" s="405"/>
      <c r="AN406" s="405"/>
      <c r="AO406" s="405"/>
      <c r="AP406" s="258" t="s">
        <v>87</v>
      </c>
      <c r="AQ406" s="258" t="s">
        <v>503</v>
      </c>
      <c r="AR406" s="281"/>
      <c r="AS406" s="281"/>
      <c r="AT406" s="281"/>
      <c r="AU406" s="281"/>
      <c r="AV406" s="281"/>
      <c r="AW406" s="281"/>
      <c r="AX406" s="281"/>
      <c r="AY406" s="281"/>
      <c r="AZ406" s="281"/>
      <c r="BA406" s="281"/>
      <c r="BB406" s="281"/>
      <c r="BC406" s="281"/>
      <c r="BD406" s="281"/>
      <c r="BE406" s="281"/>
      <c r="BF406" s="281"/>
      <c r="BG406" s="281"/>
      <c r="BH406" s="281"/>
      <c r="BI406" s="281"/>
      <c r="BJ406" s="281"/>
      <c r="BK406" s="281"/>
      <c r="BL406" s="281"/>
      <c r="BM406" s="281"/>
      <c r="BN406" s="281"/>
      <c r="BO406" s="281"/>
      <c r="BP406" s="281"/>
      <c r="BQ406" s="281"/>
      <c r="BR406" s="281"/>
      <c r="BS406" s="281"/>
      <c r="BT406" s="281"/>
      <c r="BU406" s="281"/>
      <c r="BV406" s="281"/>
      <c r="BW406" s="281"/>
      <c r="BX406" s="281"/>
      <c r="BY406" s="281"/>
      <c r="BZ406" s="281"/>
    </row>
    <row r="407" spans="1:78" x14ac:dyDescent="0.2">
      <c r="A407" s="422">
        <v>142</v>
      </c>
      <c r="B407" s="423" t="str">
        <f>IF(Stammblatt!$L$4=1,'Kalkulation Herstellungskosten'!AP407,'Kalkulation Herstellungskosten'!AQ407)</f>
        <v>Unfallversicherung</v>
      </c>
      <c r="C407" s="424"/>
      <c r="D407" s="425"/>
      <c r="E407" s="426"/>
      <c r="F407" s="426"/>
      <c r="G407" s="37">
        <v>0</v>
      </c>
      <c r="H407" s="427"/>
      <c r="I407" s="428"/>
      <c r="J407" s="460"/>
      <c r="K407" s="461"/>
      <c r="L407" s="461"/>
      <c r="M407" s="461"/>
      <c r="N407" s="462"/>
      <c r="O407" s="749"/>
      <c r="P407" s="742"/>
      <c r="Q407" s="743"/>
      <c r="R407" s="741"/>
      <c r="S407" s="751"/>
      <c r="T407" s="758"/>
      <c r="U407" s="741"/>
      <c r="V407" s="808">
        <f t="shared" si="170"/>
        <v>0</v>
      </c>
      <c r="W407" s="808">
        <f t="shared" si="171"/>
        <v>0</v>
      </c>
      <c r="X407" s="749"/>
      <c r="Y407" s="744"/>
      <c r="Z407" s="743"/>
      <c r="AA407" s="741"/>
      <c r="AB407" s="391"/>
      <c r="AC407" s="401"/>
      <c r="AD407" s="92"/>
      <c r="AE407" s="92"/>
      <c r="AF407" s="92"/>
      <c r="AG407" s="426">
        <f t="shared" si="172"/>
        <v>0</v>
      </c>
      <c r="AH407" s="405"/>
      <c r="AI407" s="405"/>
      <c r="AJ407" s="405"/>
      <c r="AK407" s="405"/>
      <c r="AL407" s="405"/>
      <c r="AM407" s="405"/>
      <c r="AN407" s="405"/>
      <c r="AO407" s="405"/>
      <c r="AP407" s="258" t="s">
        <v>88</v>
      </c>
      <c r="AQ407" s="258" t="s">
        <v>417</v>
      </c>
      <c r="AR407" s="281"/>
      <c r="AS407" s="281"/>
      <c r="AT407" s="281"/>
      <c r="AU407" s="281"/>
      <c r="AV407" s="281"/>
      <c r="AW407" s="281"/>
      <c r="AX407" s="281"/>
      <c r="AY407" s="281"/>
      <c r="AZ407" s="281"/>
      <c r="BA407" s="281"/>
      <c r="BB407" s="281"/>
      <c r="BC407" s="281"/>
      <c r="BD407" s="281"/>
      <c r="BE407" s="281"/>
      <c r="BF407" s="281"/>
      <c r="BG407" s="281"/>
      <c r="BH407" s="281"/>
      <c r="BI407" s="281"/>
      <c r="BJ407" s="281"/>
      <c r="BK407" s="281"/>
      <c r="BL407" s="281"/>
      <c r="BM407" s="281"/>
      <c r="BN407" s="281"/>
      <c r="BO407" s="281"/>
      <c r="BP407" s="281"/>
      <c r="BQ407" s="281"/>
      <c r="BR407" s="281"/>
      <c r="BS407" s="281"/>
      <c r="BT407" s="281"/>
      <c r="BU407" s="281"/>
      <c r="BV407" s="281"/>
      <c r="BW407" s="281"/>
      <c r="BX407" s="281"/>
      <c r="BY407" s="281"/>
      <c r="BZ407" s="281"/>
    </row>
    <row r="408" spans="1:78" x14ac:dyDescent="0.2">
      <c r="A408" s="422">
        <v>143</v>
      </c>
      <c r="B408" s="423" t="str">
        <f>IF(Stammblatt!$L$4=1,'Kalkulation Herstellungskosten'!AP408,'Kalkulation Herstellungskosten'!AQ408)</f>
        <v>Sonstiges *)</v>
      </c>
      <c r="C408" s="424"/>
      <c r="D408" s="425"/>
      <c r="E408" s="426"/>
      <c r="F408" s="426"/>
      <c r="G408" s="37">
        <v>0</v>
      </c>
      <c r="H408" s="427"/>
      <c r="I408" s="428"/>
      <c r="J408" s="460"/>
      <c r="K408" s="461"/>
      <c r="L408" s="461"/>
      <c r="M408" s="461"/>
      <c r="N408" s="462"/>
      <c r="O408" s="749"/>
      <c r="P408" s="742"/>
      <c r="Q408" s="743"/>
      <c r="R408" s="741"/>
      <c r="S408" s="751"/>
      <c r="T408" s="758"/>
      <c r="U408" s="741"/>
      <c r="V408" s="808">
        <f t="shared" si="170"/>
        <v>0</v>
      </c>
      <c r="W408" s="808">
        <f t="shared" si="171"/>
        <v>0</v>
      </c>
      <c r="X408" s="749"/>
      <c r="Y408" s="744"/>
      <c r="Z408" s="743"/>
      <c r="AA408" s="741"/>
      <c r="AB408" s="391"/>
      <c r="AC408" s="401"/>
      <c r="AD408" s="92"/>
      <c r="AE408" s="92"/>
      <c r="AF408" s="92"/>
      <c r="AG408" s="426">
        <f t="shared" si="172"/>
        <v>0</v>
      </c>
      <c r="AH408" s="405"/>
      <c r="AI408" s="405"/>
      <c r="AJ408" s="405"/>
      <c r="AK408" s="405"/>
      <c r="AL408" s="405"/>
      <c r="AM408" s="405"/>
      <c r="AN408" s="405"/>
      <c r="AO408" s="405"/>
      <c r="AP408" s="258" t="s">
        <v>41</v>
      </c>
      <c r="AQ408" s="258" t="s">
        <v>380</v>
      </c>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c r="BM408" s="281"/>
      <c r="BN408" s="281"/>
      <c r="BO408" s="281"/>
      <c r="BP408" s="281"/>
      <c r="BQ408" s="281"/>
      <c r="BR408" s="281"/>
      <c r="BS408" s="281"/>
      <c r="BT408" s="281"/>
      <c r="BU408" s="281"/>
      <c r="BV408" s="281"/>
      <c r="BW408" s="281"/>
      <c r="BX408" s="281"/>
      <c r="BY408" s="281"/>
      <c r="BZ408" s="281"/>
    </row>
    <row r="409" spans="1:78" x14ac:dyDescent="0.2">
      <c r="A409" s="398"/>
      <c r="B409" s="286"/>
      <c r="C409" s="399"/>
      <c r="D409" s="391"/>
      <c r="E409" s="400"/>
      <c r="F409" s="400"/>
      <c r="G409" s="400"/>
      <c r="H409" s="431"/>
      <c r="I409" s="394"/>
      <c r="J409" s="432"/>
      <c r="K409" s="431"/>
      <c r="L409" s="431"/>
      <c r="M409" s="431"/>
      <c r="N409" s="433"/>
      <c r="O409" s="745"/>
      <c r="P409" s="745"/>
      <c r="Q409" s="745"/>
      <c r="R409" s="745"/>
      <c r="S409" s="751"/>
      <c r="T409" s="746"/>
      <c r="U409" s="435"/>
      <c r="V409" s="435"/>
      <c r="W409" s="435"/>
      <c r="X409" s="745"/>
      <c r="Y409" s="745"/>
      <c r="Z409" s="745"/>
      <c r="AA409" s="745"/>
      <c r="AB409" s="391"/>
      <c r="AC409" s="401"/>
      <c r="AD409" s="400"/>
      <c r="AE409" s="400"/>
      <c r="AF409" s="400"/>
      <c r="AG409" s="281"/>
      <c r="AH409" s="405"/>
      <c r="AI409" s="405"/>
      <c r="AJ409" s="405"/>
      <c r="AK409" s="405"/>
      <c r="AL409" s="405"/>
      <c r="AM409" s="405"/>
      <c r="AN409" s="405"/>
      <c r="AO409" s="405"/>
      <c r="AP409" s="258"/>
      <c r="AQ409" s="258"/>
      <c r="AR409" s="281"/>
      <c r="AS409" s="281"/>
      <c r="AT409" s="281"/>
      <c r="AU409" s="281"/>
      <c r="AV409" s="281"/>
      <c r="AW409" s="281"/>
      <c r="AX409" s="281"/>
      <c r="AY409" s="281"/>
      <c r="AZ409" s="281"/>
      <c r="BA409" s="281"/>
      <c r="BB409" s="281"/>
      <c r="BC409" s="281"/>
      <c r="BD409" s="281"/>
      <c r="BE409" s="281"/>
      <c r="BF409" s="281"/>
      <c r="BG409" s="281"/>
      <c r="BH409" s="281"/>
      <c r="BI409" s="281"/>
      <c r="BJ409" s="281"/>
      <c r="BK409" s="281"/>
      <c r="BL409" s="281"/>
      <c r="BM409" s="281"/>
      <c r="BN409" s="281"/>
      <c r="BO409" s="281"/>
      <c r="BP409" s="281"/>
      <c r="BQ409" s="281"/>
      <c r="BR409" s="281"/>
      <c r="BS409" s="281"/>
      <c r="BT409" s="281"/>
      <c r="BU409" s="281"/>
      <c r="BV409" s="281"/>
      <c r="BW409" s="281"/>
      <c r="BX409" s="281"/>
      <c r="BY409" s="281"/>
      <c r="BZ409" s="281"/>
    </row>
    <row r="410" spans="1:78" x14ac:dyDescent="0.2">
      <c r="A410" s="112"/>
      <c r="B410" s="65" t="str">
        <f>IF(Stammblatt!$L$4=1,'Kalkulation Herstellungskosten'!AP410,'Kalkulation Herstellungskosten'!AQ410)</f>
        <v>Σ-Versicherungen</v>
      </c>
      <c r="C410" s="31"/>
      <c r="D410" s="40"/>
      <c r="E410" s="39"/>
      <c r="F410" s="39"/>
      <c r="G410" s="39">
        <f>SUM(G401:G409)</f>
        <v>0</v>
      </c>
      <c r="H410" s="39"/>
      <c r="I410" s="135"/>
      <c r="J410" s="143"/>
      <c r="K410" s="39"/>
      <c r="L410" s="39"/>
      <c r="M410" s="39"/>
      <c r="N410" s="141"/>
      <c r="O410" s="747">
        <f t="shared" ref="O410:P410" si="174">SUM(O401:O409)</f>
        <v>0</v>
      </c>
      <c r="P410" s="747">
        <f t="shared" si="174"/>
        <v>0</v>
      </c>
      <c r="Q410" s="747">
        <f t="shared" ref="Q410:R410" si="175">SUM(Q401:Q409)</f>
        <v>0</v>
      </c>
      <c r="R410" s="747">
        <f t="shared" si="175"/>
        <v>0</v>
      </c>
      <c r="S410" s="751"/>
      <c r="T410" s="748">
        <f>SUM(T401:T409)</f>
        <v>0</v>
      </c>
      <c r="U410" s="113">
        <f>SUM(U401:U409)</f>
        <v>0</v>
      </c>
      <c r="V410" s="113">
        <f>SUM(V401:V409)</f>
        <v>0</v>
      </c>
      <c r="W410" s="113">
        <f>ZS_9_Versicherungen-V410</f>
        <v>0</v>
      </c>
      <c r="X410" s="747">
        <f t="shared" ref="X410" si="176">SUM(X401:X409)</f>
        <v>0</v>
      </c>
      <c r="Y410" s="747">
        <f t="shared" ref="Y410:AA410" si="177">SUM(Y401:Y409)</f>
        <v>0</v>
      </c>
      <c r="Z410" s="747">
        <f t="shared" si="177"/>
        <v>0</v>
      </c>
      <c r="AA410" s="747">
        <f t="shared" si="177"/>
        <v>0</v>
      </c>
      <c r="AB410" s="391"/>
      <c r="AC410" s="401"/>
      <c r="AD410" s="104">
        <f t="shared" ref="AD410:AF410" si="178">SUM(AD401:AD409)</f>
        <v>0</v>
      </c>
      <c r="AE410" s="104">
        <f t="shared" si="178"/>
        <v>0</v>
      </c>
      <c r="AF410" s="104">
        <f t="shared" si="178"/>
        <v>0</v>
      </c>
      <c r="AG410" s="39">
        <f>SUM(G410,AD410:AF410)</f>
        <v>0</v>
      </c>
      <c r="AH410" s="405"/>
      <c r="AI410" s="405"/>
      <c r="AJ410" s="405"/>
      <c r="AK410" s="405"/>
      <c r="AL410" s="405"/>
      <c r="AM410" s="405"/>
      <c r="AN410" s="405"/>
      <c r="AO410" s="405"/>
      <c r="AP410" s="258" t="s">
        <v>242</v>
      </c>
      <c r="AQ410" s="258" t="s">
        <v>418</v>
      </c>
      <c r="AR410" s="281"/>
      <c r="AS410" s="281"/>
      <c r="AT410" s="281"/>
      <c r="AU410" s="281"/>
      <c r="AV410" s="281"/>
      <c r="AW410" s="281"/>
      <c r="AX410" s="281"/>
      <c r="AY410" s="281"/>
      <c r="AZ410" s="281"/>
      <c r="BA410" s="281"/>
      <c r="BB410" s="281"/>
      <c r="BC410" s="281"/>
      <c r="BD410" s="281"/>
      <c r="BE410" s="281"/>
      <c r="BF410" s="281"/>
      <c r="BG410" s="281"/>
      <c r="BH410" s="281"/>
      <c r="BI410" s="281"/>
      <c r="BJ410" s="281"/>
      <c r="BK410" s="281"/>
      <c r="BL410" s="281"/>
      <c r="BM410" s="281"/>
      <c r="BN410" s="281"/>
      <c r="BO410" s="281"/>
      <c r="BP410" s="281"/>
      <c r="BQ410" s="281"/>
      <c r="BR410" s="281"/>
      <c r="BS410" s="281"/>
      <c r="BT410" s="281"/>
      <c r="BU410" s="281"/>
      <c r="BV410" s="281"/>
      <c r="BW410" s="281"/>
      <c r="BX410" s="281"/>
      <c r="BY410" s="281"/>
      <c r="BZ410" s="281"/>
    </row>
    <row r="411" spans="1:78" x14ac:dyDescent="0.2">
      <c r="A411" s="398"/>
      <c r="B411" s="286"/>
      <c r="C411" s="399"/>
      <c r="D411" s="391"/>
      <c r="E411" s="400"/>
      <c r="F411" s="400"/>
      <c r="G411" s="400"/>
      <c r="H411" s="431"/>
      <c r="I411" s="394"/>
      <c r="J411" s="432"/>
      <c r="K411" s="431"/>
      <c r="L411" s="431"/>
      <c r="M411" s="431"/>
      <c r="N411" s="433"/>
      <c r="O411" s="745"/>
      <c r="P411" s="745"/>
      <c r="Q411" s="745"/>
      <c r="R411" s="745"/>
      <c r="S411" s="751"/>
      <c r="T411" s="746"/>
      <c r="U411" s="435"/>
      <c r="V411" s="435"/>
      <c r="W411" s="435"/>
      <c r="X411" s="435"/>
      <c r="Y411" s="745"/>
      <c r="Z411" s="745"/>
      <c r="AA411" s="745"/>
      <c r="AB411" s="391"/>
      <c r="AC411" s="401"/>
      <c r="AD411" s="400"/>
      <c r="AE411" s="400"/>
      <c r="AF411" s="400"/>
      <c r="AG411" s="281"/>
      <c r="AH411" s="405"/>
      <c r="AI411" s="405"/>
      <c r="AJ411" s="405"/>
      <c r="AK411" s="405"/>
      <c r="AL411" s="405"/>
      <c r="AM411" s="405"/>
      <c r="AN411" s="405"/>
      <c r="AO411" s="405"/>
      <c r="AP411" s="258"/>
      <c r="AQ411" s="258"/>
      <c r="AR411" s="281"/>
      <c r="AS411" s="281"/>
      <c r="AT411" s="281"/>
      <c r="AU411" s="281"/>
      <c r="AV411" s="281"/>
      <c r="AW411" s="281"/>
      <c r="AX411" s="281"/>
      <c r="AY411" s="281"/>
      <c r="AZ411" s="281"/>
      <c r="BA411" s="281"/>
      <c r="BB411" s="281"/>
      <c r="BC411" s="281"/>
      <c r="BD411" s="281"/>
      <c r="BE411" s="281"/>
      <c r="BF411" s="281"/>
      <c r="BG411" s="281"/>
      <c r="BH411" s="281"/>
      <c r="BI411" s="281"/>
      <c r="BJ411" s="281"/>
      <c r="BK411" s="281"/>
      <c r="BL411" s="281"/>
      <c r="BM411" s="281"/>
      <c r="BN411" s="281"/>
      <c r="BO411" s="281"/>
      <c r="BP411" s="281"/>
      <c r="BQ411" s="281"/>
      <c r="BR411" s="281"/>
      <c r="BS411" s="281"/>
      <c r="BT411" s="281"/>
      <c r="BU411" s="281"/>
      <c r="BV411" s="281"/>
      <c r="BW411" s="281"/>
      <c r="BX411" s="281"/>
      <c r="BY411" s="281"/>
      <c r="BZ411" s="281"/>
    </row>
    <row r="412" spans="1:78" x14ac:dyDescent="0.2">
      <c r="A412" s="398"/>
      <c r="B412" s="286"/>
      <c r="C412" s="399"/>
      <c r="D412" s="391"/>
      <c r="E412" s="400"/>
      <c r="F412" s="400"/>
      <c r="G412" s="400"/>
      <c r="H412" s="431"/>
      <c r="I412" s="394"/>
      <c r="J412" s="432"/>
      <c r="K412" s="431"/>
      <c r="L412" s="431"/>
      <c r="M412" s="431"/>
      <c r="N412" s="433"/>
      <c r="O412" s="745"/>
      <c r="P412" s="745"/>
      <c r="Q412" s="745"/>
      <c r="R412" s="745"/>
      <c r="S412" s="751"/>
      <c r="T412" s="746"/>
      <c r="U412" s="435"/>
      <c r="V412" s="435"/>
      <c r="W412" s="435"/>
      <c r="X412" s="435"/>
      <c r="Y412" s="745"/>
      <c r="Z412" s="745"/>
      <c r="AA412" s="745"/>
      <c r="AB412" s="391"/>
      <c r="AC412" s="401"/>
      <c r="AD412" s="400"/>
      <c r="AE412" s="400"/>
      <c r="AF412" s="400"/>
      <c r="AG412" s="281"/>
      <c r="AH412" s="405"/>
      <c r="AI412" s="405"/>
      <c r="AJ412" s="405"/>
      <c r="AK412" s="405"/>
      <c r="AL412" s="405"/>
      <c r="AM412" s="405"/>
      <c r="AN412" s="405"/>
      <c r="AO412" s="405"/>
      <c r="AP412" s="258"/>
      <c r="AQ412" s="258"/>
      <c r="AR412" s="281"/>
      <c r="AS412" s="281"/>
      <c r="AT412" s="281"/>
      <c r="AU412" s="281"/>
      <c r="AV412" s="281"/>
      <c r="AW412" s="281"/>
      <c r="AX412" s="281"/>
      <c r="AY412" s="281"/>
      <c r="AZ412" s="281"/>
      <c r="BA412" s="281"/>
      <c r="BB412" s="281"/>
      <c r="BC412" s="281"/>
      <c r="BD412" s="281"/>
      <c r="BE412" s="281"/>
      <c r="BF412" s="281"/>
      <c r="BG412" s="281"/>
      <c r="BH412" s="281"/>
      <c r="BI412" s="281"/>
      <c r="BJ412" s="281"/>
      <c r="BK412" s="281"/>
      <c r="BL412" s="281"/>
      <c r="BM412" s="281"/>
      <c r="BN412" s="281"/>
      <c r="BO412" s="281"/>
      <c r="BP412" s="281"/>
      <c r="BQ412" s="281"/>
      <c r="BR412" s="281"/>
      <c r="BS412" s="281"/>
      <c r="BT412" s="281"/>
      <c r="BU412" s="281"/>
      <c r="BV412" s="281"/>
      <c r="BW412" s="281"/>
      <c r="BX412" s="281"/>
      <c r="BY412" s="281"/>
      <c r="BZ412" s="281"/>
    </row>
    <row r="413" spans="1:78" x14ac:dyDescent="0.2">
      <c r="A413" s="398"/>
      <c r="B413" s="296" t="str">
        <f>IF(Stammblatt!$L$4=1,'Kalkulation Herstellungskosten'!AP413,'Kalkulation Herstellungskosten'!AQ413)</f>
        <v>10. Reise-, Beförderungs- und Transportkosten  *)</v>
      </c>
      <c r="C413" s="399"/>
      <c r="D413" s="391"/>
      <c r="E413" s="400"/>
      <c r="F413" s="400"/>
      <c r="G413" s="400"/>
      <c r="H413" s="431"/>
      <c r="I413" s="394"/>
      <c r="J413" s="432"/>
      <c r="K413" s="431"/>
      <c r="L413" s="431"/>
      <c r="M413" s="431"/>
      <c r="N413" s="433"/>
      <c r="O413" s="745"/>
      <c r="P413" s="745"/>
      <c r="Q413" s="745"/>
      <c r="R413" s="745"/>
      <c r="S413" s="751"/>
      <c r="T413" s="746"/>
      <c r="U413" s="435"/>
      <c r="V413" s="435"/>
      <c r="W413" s="435"/>
      <c r="X413" s="435"/>
      <c r="Y413" s="745"/>
      <c r="Z413" s="745"/>
      <c r="AA413" s="745"/>
      <c r="AB413" s="391"/>
      <c r="AC413" s="401"/>
      <c r="AD413" s="400"/>
      <c r="AE413" s="400"/>
      <c r="AF413" s="400"/>
      <c r="AG413" s="281"/>
      <c r="AH413" s="405"/>
      <c r="AI413" s="405"/>
      <c r="AJ413" s="405"/>
      <c r="AK413" s="405"/>
      <c r="AL413" s="405"/>
      <c r="AM413" s="405"/>
      <c r="AN413" s="405"/>
      <c r="AO413" s="405"/>
      <c r="AP413" s="258" t="s">
        <v>90</v>
      </c>
      <c r="AQ413" s="258" t="s">
        <v>447</v>
      </c>
      <c r="AR413" s="281"/>
      <c r="AS413" s="281"/>
      <c r="AT413" s="281"/>
      <c r="AU413" s="281"/>
      <c r="AV413" s="281"/>
      <c r="AW413" s="281"/>
      <c r="AX413" s="281"/>
      <c r="AY413" s="281"/>
      <c r="AZ413" s="281"/>
      <c r="BA413" s="281"/>
      <c r="BB413" s="281"/>
      <c r="BC413" s="281"/>
      <c r="BD413" s="281"/>
      <c r="BE413" s="281"/>
      <c r="BF413" s="281"/>
      <c r="BG413" s="281"/>
      <c r="BH413" s="281"/>
      <c r="BI413" s="281"/>
      <c r="BJ413" s="281"/>
      <c r="BK413" s="281"/>
      <c r="BL413" s="281"/>
      <c r="BM413" s="281"/>
      <c r="BN413" s="281"/>
      <c r="BO413" s="281"/>
      <c r="BP413" s="281"/>
      <c r="BQ413" s="281"/>
      <c r="BR413" s="281"/>
      <c r="BS413" s="281"/>
      <c r="BT413" s="281"/>
      <c r="BU413" s="281"/>
      <c r="BV413" s="281"/>
      <c r="BW413" s="281"/>
      <c r="BX413" s="281"/>
      <c r="BY413" s="281"/>
      <c r="BZ413" s="281"/>
    </row>
    <row r="414" spans="1:78" x14ac:dyDescent="0.2">
      <c r="A414" s="422">
        <v>144</v>
      </c>
      <c r="B414" s="423" t="str">
        <f>IF(Stammblatt!$L$4=1,'Kalkulation Herstellungskosten'!AP414,'Kalkulation Herstellungskosten'!AQ414)</f>
        <v>Fahrtkosten</v>
      </c>
      <c r="C414" s="424"/>
      <c r="D414" s="425"/>
      <c r="E414" s="426"/>
      <c r="F414" s="426"/>
      <c r="G414" s="426">
        <f>'Zu 10 (Reise-, Transportkosten)'!I21</f>
        <v>0</v>
      </c>
      <c r="H414" s="427"/>
      <c r="I414" s="428"/>
      <c r="J414" s="429"/>
      <c r="K414" s="427"/>
      <c r="L414" s="427"/>
      <c r="M414" s="427"/>
      <c r="N414" s="430"/>
      <c r="O414" s="749"/>
      <c r="P414" s="742"/>
      <c r="Q414" s="743"/>
      <c r="R414" s="741"/>
      <c r="S414" s="751"/>
      <c r="T414" s="758"/>
      <c r="U414" s="741"/>
      <c r="V414" s="564">
        <f>SUM(T414:U414)</f>
        <v>0</v>
      </c>
      <c r="W414" s="564">
        <f>G414-V414</f>
        <v>0</v>
      </c>
      <c r="X414" s="749"/>
      <c r="Y414" s="744"/>
      <c r="Z414" s="743"/>
      <c r="AA414" s="741"/>
      <c r="AB414" s="391"/>
      <c r="AC414" s="401"/>
      <c r="AD414" s="463">
        <f>'Zu 10 (Reise-, Transportkosten)'!K21</f>
        <v>0</v>
      </c>
      <c r="AE414" s="463">
        <f>'Zu 10 (Reise-, Transportkosten)'!L21</f>
        <v>0</v>
      </c>
      <c r="AF414" s="463">
        <f>'Zu 10 (Reise-, Transportkosten)'!M21</f>
        <v>0</v>
      </c>
      <c r="AG414" s="426">
        <f>SUM(G414,AD414:AF414)</f>
        <v>0</v>
      </c>
      <c r="AH414" s="405"/>
      <c r="AI414" s="405"/>
      <c r="AJ414" s="405"/>
      <c r="AK414" s="405"/>
      <c r="AL414" s="405"/>
      <c r="AM414" s="405"/>
      <c r="AN414" s="405"/>
      <c r="AO414" s="405"/>
      <c r="AP414" s="258" t="s">
        <v>91</v>
      </c>
      <c r="AQ414" s="258" t="s">
        <v>419</v>
      </c>
      <c r="AR414" s="281"/>
      <c r="AS414" s="281"/>
      <c r="AT414" s="281"/>
      <c r="AU414" s="281"/>
      <c r="AV414" s="281"/>
      <c r="AW414" s="281"/>
      <c r="AX414" s="281"/>
      <c r="AY414" s="281"/>
      <c r="AZ414" s="281"/>
      <c r="BA414" s="281"/>
      <c r="BB414" s="281"/>
      <c r="BC414" s="281"/>
      <c r="BD414" s="281"/>
      <c r="BE414" s="281"/>
      <c r="BF414" s="281"/>
      <c r="BG414" s="281"/>
      <c r="BH414" s="281"/>
      <c r="BI414" s="281"/>
      <c r="BJ414" s="281"/>
      <c r="BK414" s="281"/>
      <c r="BL414" s="281"/>
      <c r="BM414" s="281"/>
      <c r="BN414" s="281"/>
      <c r="BO414" s="281"/>
      <c r="BP414" s="281"/>
      <c r="BQ414" s="281"/>
      <c r="BR414" s="281"/>
      <c r="BS414" s="281"/>
      <c r="BT414" s="281"/>
      <c r="BU414" s="281"/>
      <c r="BV414" s="281"/>
      <c r="BW414" s="281"/>
      <c r="BX414" s="281"/>
      <c r="BY414" s="281"/>
      <c r="BZ414" s="281"/>
    </row>
    <row r="415" spans="1:78" x14ac:dyDescent="0.2">
      <c r="A415" s="422">
        <v>145</v>
      </c>
      <c r="B415" s="423" t="str">
        <f>IF(Stammblatt!$L$4=1,'Kalkulation Herstellungskosten'!AP415,'Kalkulation Herstellungskosten'!AQ415)</f>
        <v>Tag-u. Übernachtungsgelder</v>
      </c>
      <c r="C415" s="424"/>
      <c r="D415" s="425"/>
      <c r="E415" s="426"/>
      <c r="F415" s="426"/>
      <c r="G415" s="426">
        <f>'Zu 10 (Reise-, Transportkosten)'!I41</f>
        <v>0</v>
      </c>
      <c r="H415" s="427"/>
      <c r="I415" s="428"/>
      <c r="J415" s="460"/>
      <c r="K415" s="461"/>
      <c r="L415" s="461"/>
      <c r="M415" s="461"/>
      <c r="N415" s="462"/>
      <c r="O415" s="749"/>
      <c r="P415" s="742"/>
      <c r="Q415" s="743"/>
      <c r="R415" s="741"/>
      <c r="S415" s="751"/>
      <c r="T415" s="758"/>
      <c r="U415" s="741"/>
      <c r="V415" s="564">
        <f>SUM(T415:U415)</f>
        <v>0</v>
      </c>
      <c r="W415" s="564">
        <f>G415-V415</f>
        <v>0</v>
      </c>
      <c r="X415" s="749"/>
      <c r="Y415" s="744"/>
      <c r="Z415" s="743"/>
      <c r="AA415" s="741"/>
      <c r="AB415" s="391"/>
      <c r="AC415" s="401"/>
      <c r="AD415" s="463">
        <f>'Zu 10 (Reise-, Transportkosten)'!K41</f>
        <v>0</v>
      </c>
      <c r="AE415" s="463">
        <f>'Zu 10 (Reise-, Transportkosten)'!L41</f>
        <v>0</v>
      </c>
      <c r="AF415" s="463">
        <f>'Zu 10 (Reise-, Transportkosten)'!M41</f>
        <v>0</v>
      </c>
      <c r="AG415" s="426">
        <f>SUM(G415,AD415:AF415)</f>
        <v>0</v>
      </c>
      <c r="AH415" s="405"/>
      <c r="AI415" s="405"/>
      <c r="AJ415" s="405"/>
      <c r="AK415" s="405"/>
      <c r="AL415" s="405"/>
      <c r="AM415" s="405"/>
      <c r="AN415" s="405"/>
      <c r="AO415" s="405"/>
      <c r="AP415" s="258" t="s">
        <v>92</v>
      </c>
      <c r="AQ415" s="258" t="s">
        <v>420</v>
      </c>
      <c r="AR415" s="281"/>
      <c r="AS415" s="281"/>
      <c r="AT415" s="281"/>
      <c r="AU415" s="281"/>
      <c r="AV415" s="281"/>
      <c r="AW415" s="281"/>
      <c r="AX415" s="281"/>
      <c r="AY415" s="281"/>
      <c r="AZ415" s="281"/>
      <c r="BA415" s="281"/>
      <c r="BB415" s="281"/>
      <c r="BC415" s="281"/>
      <c r="BD415" s="281"/>
      <c r="BE415" s="281"/>
      <c r="BF415" s="281"/>
      <c r="BG415" s="281"/>
      <c r="BH415" s="281"/>
      <c r="BI415" s="281"/>
      <c r="BJ415" s="281"/>
      <c r="BK415" s="281"/>
      <c r="BL415" s="281"/>
      <c r="BM415" s="281"/>
      <c r="BN415" s="281"/>
      <c r="BO415" s="281"/>
      <c r="BP415" s="281"/>
      <c r="BQ415" s="281"/>
      <c r="BR415" s="281"/>
      <c r="BS415" s="281"/>
      <c r="BT415" s="281"/>
      <c r="BU415" s="281"/>
      <c r="BV415" s="281"/>
      <c r="BW415" s="281"/>
      <c r="BX415" s="281"/>
      <c r="BY415" s="281"/>
      <c r="BZ415" s="281"/>
    </row>
    <row r="416" spans="1:78" x14ac:dyDescent="0.2">
      <c r="A416" s="422">
        <v>146</v>
      </c>
      <c r="B416" s="423" t="str">
        <f>IF(Stammblatt!$L$4=1,'Kalkulation Herstellungskosten'!AP416,'Kalkulation Herstellungskosten'!AQ416)</f>
        <v>Beförderungs- und Transportkosten, Frachten, Rollgelder und Taxis</v>
      </c>
      <c r="C416" s="424"/>
      <c r="D416" s="425"/>
      <c r="E416" s="426"/>
      <c r="F416" s="426"/>
      <c r="G416" s="426">
        <f>'Zu 10 (Reise-, Transportkosten)'!I58</f>
        <v>0</v>
      </c>
      <c r="H416" s="427"/>
      <c r="I416" s="428"/>
      <c r="J416" s="460"/>
      <c r="K416" s="461"/>
      <c r="L416" s="461"/>
      <c r="M416" s="461"/>
      <c r="N416" s="462"/>
      <c r="O416" s="749"/>
      <c r="P416" s="742"/>
      <c r="Q416" s="743"/>
      <c r="R416" s="741"/>
      <c r="S416" s="751"/>
      <c r="T416" s="758"/>
      <c r="U416" s="741"/>
      <c r="V416" s="564">
        <f>SUM(T416:U416)</f>
        <v>0</v>
      </c>
      <c r="W416" s="564">
        <f>G416-V416</f>
        <v>0</v>
      </c>
      <c r="X416" s="749"/>
      <c r="Y416" s="744"/>
      <c r="Z416" s="743"/>
      <c r="AA416" s="741"/>
      <c r="AB416" s="391"/>
      <c r="AC416" s="401"/>
      <c r="AD416" s="463">
        <f>'Zu 10 (Reise-, Transportkosten)'!K58</f>
        <v>0</v>
      </c>
      <c r="AE416" s="463">
        <f>'Zu 10 (Reise-, Transportkosten)'!L58</f>
        <v>0</v>
      </c>
      <c r="AF416" s="463">
        <f>'Zu 10 (Reise-, Transportkosten)'!M58</f>
        <v>0</v>
      </c>
      <c r="AG416" s="426">
        <f>SUM(G416,AD416:AF416)</f>
        <v>0</v>
      </c>
      <c r="AH416" s="405"/>
      <c r="AI416" s="405"/>
      <c r="AJ416" s="405"/>
      <c r="AK416" s="405"/>
      <c r="AL416" s="405"/>
      <c r="AM416" s="405"/>
      <c r="AN416" s="405"/>
      <c r="AO416" s="405"/>
      <c r="AP416" s="258" t="s">
        <v>93</v>
      </c>
      <c r="AQ416" s="258" t="s">
        <v>421</v>
      </c>
      <c r="AR416" s="281"/>
      <c r="AS416" s="281"/>
      <c r="AT416" s="281"/>
      <c r="AU416" s="281"/>
      <c r="AV416" s="281"/>
      <c r="AW416" s="281"/>
      <c r="AX416" s="281"/>
      <c r="AY416" s="281"/>
      <c r="AZ416" s="281"/>
      <c r="BA416" s="281"/>
      <c r="BB416" s="281"/>
      <c r="BC416" s="281"/>
      <c r="BD416" s="281"/>
      <c r="BE416" s="281"/>
      <c r="BF416" s="281"/>
      <c r="BG416" s="281"/>
      <c r="BH416" s="281"/>
      <c r="BI416" s="281"/>
      <c r="BJ416" s="281"/>
      <c r="BK416" s="281"/>
      <c r="BL416" s="281"/>
      <c r="BM416" s="281"/>
      <c r="BN416" s="281"/>
      <c r="BO416" s="281"/>
      <c r="BP416" s="281"/>
      <c r="BQ416" s="281"/>
      <c r="BR416" s="281"/>
      <c r="BS416" s="281"/>
      <c r="BT416" s="281"/>
      <c r="BU416" s="281"/>
      <c r="BV416" s="281"/>
      <c r="BW416" s="281"/>
      <c r="BX416" s="281"/>
      <c r="BY416" s="281"/>
      <c r="BZ416" s="281"/>
    </row>
    <row r="417" spans="1:78" x14ac:dyDescent="0.2">
      <c r="A417" s="398"/>
      <c r="B417" s="286"/>
      <c r="C417" s="399"/>
      <c r="D417" s="391"/>
      <c r="E417" s="400"/>
      <c r="F417" s="400"/>
      <c r="G417" s="400"/>
      <c r="H417" s="431"/>
      <c r="I417" s="394"/>
      <c r="J417" s="432"/>
      <c r="K417" s="431"/>
      <c r="L417" s="431"/>
      <c r="M417" s="431"/>
      <c r="N417" s="433"/>
      <c r="O417" s="745"/>
      <c r="P417" s="745"/>
      <c r="Q417" s="745"/>
      <c r="R417" s="745"/>
      <c r="S417" s="751"/>
      <c r="T417" s="746"/>
      <c r="U417" s="435"/>
      <c r="V417" s="435"/>
      <c r="W417" s="435"/>
      <c r="X417" s="745"/>
      <c r="Y417" s="745"/>
      <c r="Z417" s="745"/>
      <c r="AA417" s="745"/>
      <c r="AB417" s="391"/>
      <c r="AC417" s="401"/>
      <c r="AD417" s="400"/>
      <c r="AE417" s="400"/>
      <c r="AF417" s="400"/>
      <c r="AG417" s="281"/>
      <c r="AH417" s="405"/>
      <c r="AI417" s="405"/>
      <c r="AJ417" s="405"/>
      <c r="AK417" s="405"/>
      <c r="AL417" s="405"/>
      <c r="AM417" s="405"/>
      <c r="AN417" s="405"/>
      <c r="AO417" s="405"/>
      <c r="AP417" s="258"/>
      <c r="AQ417" s="258"/>
      <c r="AR417" s="281"/>
      <c r="AS417" s="281"/>
      <c r="AT417" s="281"/>
      <c r="AU417" s="281"/>
      <c r="AV417" s="281"/>
      <c r="AW417" s="281"/>
      <c r="AX417" s="281"/>
      <c r="AY417" s="281"/>
      <c r="AZ417" s="281"/>
      <c r="BA417" s="281"/>
      <c r="BB417" s="281"/>
      <c r="BC417" s="281"/>
      <c r="BD417" s="281"/>
      <c r="BE417" s="281"/>
      <c r="BF417" s="281"/>
      <c r="BG417" s="281"/>
      <c r="BH417" s="281"/>
      <c r="BI417" s="281"/>
      <c r="BJ417" s="281"/>
      <c r="BK417" s="281"/>
      <c r="BL417" s="281"/>
      <c r="BM417" s="281"/>
      <c r="BN417" s="281"/>
      <c r="BO417" s="281"/>
      <c r="BP417" s="281"/>
      <c r="BQ417" s="281"/>
      <c r="BR417" s="281"/>
      <c r="BS417" s="281"/>
      <c r="BT417" s="281"/>
      <c r="BU417" s="281"/>
      <c r="BV417" s="281"/>
      <c r="BW417" s="281"/>
      <c r="BX417" s="281"/>
      <c r="BY417" s="281"/>
      <c r="BZ417" s="281"/>
    </row>
    <row r="418" spans="1:78" x14ac:dyDescent="0.2">
      <c r="A418" s="112"/>
      <c r="B418" s="65" t="str">
        <f>IF(Stammblatt!$L$4=1,'Kalkulation Herstellungskosten'!AP418,'Kalkulation Herstellungskosten'!AQ418)</f>
        <v>Σ-Reise-, Beförderungs- und Transportkosten</v>
      </c>
      <c r="C418" s="31"/>
      <c r="D418" s="40"/>
      <c r="E418" s="39"/>
      <c r="F418" s="39"/>
      <c r="G418" s="39">
        <f>SUM(G414:G417)</f>
        <v>0</v>
      </c>
      <c r="H418" s="39"/>
      <c r="I418" s="135"/>
      <c r="J418" s="143"/>
      <c r="K418" s="39"/>
      <c r="L418" s="39"/>
      <c r="M418" s="39"/>
      <c r="N418" s="141"/>
      <c r="O418" s="747">
        <f t="shared" ref="O418:P418" si="179">SUM(O414:O417)</f>
        <v>0</v>
      </c>
      <c r="P418" s="747">
        <f t="shared" si="179"/>
        <v>0</v>
      </c>
      <c r="Q418" s="747">
        <f t="shared" ref="Q418:R418" si="180">SUM(Q414:Q417)</f>
        <v>0</v>
      </c>
      <c r="R418" s="747">
        <f t="shared" si="180"/>
        <v>0</v>
      </c>
      <c r="S418" s="751"/>
      <c r="T418" s="748">
        <f>SUM(T414:T417)</f>
        <v>0</v>
      </c>
      <c r="U418" s="113">
        <f>SUM(U414:U417)</f>
        <v>0</v>
      </c>
      <c r="V418" s="113">
        <f>SUM(V414:V417)</f>
        <v>0</v>
      </c>
      <c r="W418" s="113">
        <f>ZS_10_Reisekosten-V418</f>
        <v>0</v>
      </c>
      <c r="X418" s="747">
        <f t="shared" ref="X418" si="181">SUM(X414:X417)</f>
        <v>0</v>
      </c>
      <c r="Y418" s="747">
        <f t="shared" ref="Y418:AA418" si="182">SUM(Y414:Y417)</f>
        <v>0</v>
      </c>
      <c r="Z418" s="747">
        <f t="shared" si="182"/>
        <v>0</v>
      </c>
      <c r="AA418" s="747">
        <f t="shared" si="182"/>
        <v>0</v>
      </c>
      <c r="AB418" s="391"/>
      <c r="AC418" s="401"/>
      <c r="AD418" s="104">
        <f t="shared" ref="AD418:AF418" si="183">SUM(AD414:AD417)</f>
        <v>0</v>
      </c>
      <c r="AE418" s="104">
        <f t="shared" si="183"/>
        <v>0</v>
      </c>
      <c r="AF418" s="104">
        <f t="shared" si="183"/>
        <v>0</v>
      </c>
      <c r="AG418" s="39">
        <f>SUM(G418,AD418:AF418)</f>
        <v>0</v>
      </c>
      <c r="AH418" s="405"/>
      <c r="AI418" s="405"/>
      <c r="AJ418" s="405"/>
      <c r="AK418" s="405"/>
      <c r="AL418" s="405"/>
      <c r="AM418" s="405"/>
      <c r="AN418" s="405"/>
      <c r="AO418" s="405"/>
      <c r="AP418" s="258" t="s">
        <v>243</v>
      </c>
      <c r="AQ418" s="258" t="s">
        <v>448</v>
      </c>
      <c r="AR418" s="281"/>
      <c r="AS418" s="281"/>
      <c r="AT418" s="281"/>
      <c r="AU418" s="281"/>
      <c r="AV418" s="281"/>
      <c r="AW418" s="281"/>
      <c r="AX418" s="281"/>
      <c r="AY418" s="281"/>
      <c r="AZ418" s="281"/>
      <c r="BA418" s="281"/>
      <c r="BB418" s="281"/>
      <c r="BC418" s="281"/>
      <c r="BD418" s="281"/>
      <c r="BE418" s="281"/>
      <c r="BF418" s="281"/>
      <c r="BG418" s="281"/>
      <c r="BH418" s="281"/>
      <c r="BI418" s="281"/>
      <c r="BJ418" s="281"/>
      <c r="BK418" s="281"/>
      <c r="BL418" s="281"/>
      <c r="BM418" s="281"/>
      <c r="BN418" s="281"/>
      <c r="BO418" s="281"/>
      <c r="BP418" s="281"/>
      <c r="BQ418" s="281"/>
      <c r="BR418" s="281"/>
      <c r="BS418" s="281"/>
      <c r="BT418" s="281"/>
      <c r="BU418" s="281"/>
      <c r="BV418" s="281"/>
      <c r="BW418" s="281"/>
      <c r="BX418" s="281"/>
      <c r="BY418" s="281"/>
      <c r="BZ418" s="281"/>
    </row>
    <row r="419" spans="1:78" x14ac:dyDescent="0.2">
      <c r="A419" s="398"/>
      <c r="B419" s="286"/>
      <c r="C419" s="399"/>
      <c r="D419" s="391"/>
      <c r="E419" s="400"/>
      <c r="F419" s="400"/>
      <c r="G419" s="400"/>
      <c r="H419" s="431"/>
      <c r="I419" s="394"/>
      <c r="J419" s="432"/>
      <c r="K419" s="431"/>
      <c r="L419" s="431"/>
      <c r="M419" s="431"/>
      <c r="N419" s="433"/>
      <c r="O419" s="745"/>
      <c r="P419" s="745"/>
      <c r="Q419" s="745"/>
      <c r="R419" s="745"/>
      <c r="S419" s="751"/>
      <c r="T419" s="746"/>
      <c r="U419" s="435"/>
      <c r="V419" s="435"/>
      <c r="W419" s="435"/>
      <c r="X419" s="435"/>
      <c r="Y419" s="745"/>
      <c r="Z419" s="745"/>
      <c r="AA419" s="745"/>
      <c r="AB419" s="391"/>
      <c r="AC419" s="401"/>
      <c r="AD419" s="400"/>
      <c r="AE419" s="400"/>
      <c r="AF419" s="400"/>
      <c r="AG419" s="281"/>
      <c r="AH419" s="405"/>
      <c r="AI419" s="405"/>
      <c r="AJ419" s="405"/>
      <c r="AK419" s="405"/>
      <c r="AL419" s="405"/>
      <c r="AM419" s="405"/>
      <c r="AN419" s="405"/>
      <c r="AO419" s="405"/>
      <c r="AP419" s="258"/>
      <c r="AQ419" s="258"/>
      <c r="AR419" s="281"/>
      <c r="AS419" s="281"/>
      <c r="AT419" s="281"/>
      <c r="AU419" s="281"/>
      <c r="AV419" s="281"/>
      <c r="AW419" s="281"/>
      <c r="AX419" s="281"/>
      <c r="AY419" s="281"/>
      <c r="AZ419" s="281"/>
      <c r="BA419" s="281"/>
      <c r="BB419" s="281"/>
      <c r="BC419" s="281"/>
      <c r="BD419" s="281"/>
      <c r="BE419" s="281"/>
      <c r="BF419" s="281"/>
      <c r="BG419" s="281"/>
      <c r="BH419" s="281"/>
      <c r="BI419" s="281"/>
      <c r="BJ419" s="281"/>
      <c r="BK419" s="281"/>
      <c r="BL419" s="281"/>
      <c r="BM419" s="281"/>
      <c r="BN419" s="281"/>
      <c r="BO419" s="281"/>
      <c r="BP419" s="281"/>
      <c r="BQ419" s="281"/>
      <c r="BR419" s="281"/>
      <c r="BS419" s="281"/>
      <c r="BT419" s="281"/>
      <c r="BU419" s="281"/>
      <c r="BV419" s="281"/>
      <c r="BW419" s="281"/>
      <c r="BX419" s="281"/>
      <c r="BY419" s="281"/>
      <c r="BZ419" s="281"/>
    </row>
    <row r="420" spans="1:78" x14ac:dyDescent="0.2">
      <c r="A420" s="398"/>
      <c r="B420" s="286"/>
      <c r="C420" s="399"/>
      <c r="D420" s="391"/>
      <c r="E420" s="400"/>
      <c r="F420" s="400"/>
      <c r="G420" s="400"/>
      <c r="H420" s="431"/>
      <c r="I420" s="394"/>
      <c r="J420" s="432"/>
      <c r="K420" s="431"/>
      <c r="L420" s="431"/>
      <c r="M420" s="431"/>
      <c r="N420" s="433"/>
      <c r="O420" s="745"/>
      <c r="P420" s="745"/>
      <c r="Q420" s="745"/>
      <c r="R420" s="745"/>
      <c r="S420" s="751"/>
      <c r="T420" s="746"/>
      <c r="U420" s="435"/>
      <c r="V420" s="435"/>
      <c r="W420" s="435"/>
      <c r="X420" s="435"/>
      <c r="Y420" s="745"/>
      <c r="Z420" s="745"/>
      <c r="AA420" s="745"/>
      <c r="AB420" s="391"/>
      <c r="AC420" s="401"/>
      <c r="AD420" s="400"/>
      <c r="AE420" s="400"/>
      <c r="AF420" s="400"/>
      <c r="AG420" s="281"/>
      <c r="AH420" s="405"/>
      <c r="AI420" s="405"/>
      <c r="AJ420" s="405"/>
      <c r="AK420" s="405"/>
      <c r="AL420" s="405"/>
      <c r="AM420" s="405"/>
      <c r="AN420" s="405"/>
      <c r="AO420" s="405"/>
      <c r="AP420" s="258"/>
      <c r="AQ420" s="258"/>
      <c r="AR420" s="281"/>
      <c r="AS420" s="281"/>
      <c r="AT420" s="281"/>
      <c r="AU420" s="281"/>
      <c r="AV420" s="281"/>
      <c r="AW420" s="281"/>
      <c r="AX420" s="281"/>
      <c r="AY420" s="281"/>
      <c r="AZ420" s="281"/>
      <c r="BA420" s="281"/>
      <c r="BB420" s="281"/>
      <c r="BC420" s="281"/>
      <c r="BD420" s="281"/>
      <c r="BE420" s="281"/>
      <c r="BF420" s="281"/>
      <c r="BG420" s="281"/>
      <c r="BH420" s="281"/>
      <c r="BI420" s="281"/>
      <c r="BJ420" s="281"/>
      <c r="BK420" s="281"/>
      <c r="BL420" s="281"/>
      <c r="BM420" s="281"/>
      <c r="BN420" s="281"/>
      <c r="BO420" s="281"/>
      <c r="BP420" s="281"/>
      <c r="BQ420" s="281"/>
      <c r="BR420" s="281"/>
      <c r="BS420" s="281"/>
      <c r="BT420" s="281"/>
      <c r="BU420" s="281"/>
      <c r="BV420" s="281"/>
      <c r="BW420" s="281"/>
      <c r="BX420" s="281"/>
      <c r="BY420" s="281"/>
      <c r="BZ420" s="281"/>
    </row>
    <row r="421" spans="1:78" s="25" customFormat="1" x14ac:dyDescent="0.2">
      <c r="A421" s="406"/>
      <c r="B421" s="296" t="str">
        <f>IF(Stammblatt!$L$4=1,'Kalkulation Herstellungskosten'!AP421,'Kalkulation Herstellungskosten'!AQ421)</f>
        <v>11. Allgemeine Kosten</v>
      </c>
      <c r="C421" s="403"/>
      <c r="D421" s="407"/>
      <c r="E421" s="408"/>
      <c r="F421" s="408"/>
      <c r="G421" s="408"/>
      <c r="H421" s="401"/>
      <c r="I421" s="402"/>
      <c r="J421" s="409"/>
      <c r="K421" s="401"/>
      <c r="L421" s="401"/>
      <c r="M421" s="401"/>
      <c r="N421" s="410"/>
      <c r="O421" s="737"/>
      <c r="P421" s="737"/>
      <c r="Q421" s="737"/>
      <c r="R421" s="737"/>
      <c r="S421" s="751"/>
      <c r="T421" s="740"/>
      <c r="U421" s="441"/>
      <c r="V421" s="441"/>
      <c r="W421" s="441"/>
      <c r="X421" s="441"/>
      <c r="Y421" s="737"/>
      <c r="Z421" s="737"/>
      <c r="AA421" s="737"/>
      <c r="AB421" s="391"/>
      <c r="AC421" s="401"/>
      <c r="AD421" s="408"/>
      <c r="AE421" s="408"/>
      <c r="AF421" s="408"/>
      <c r="AG421" s="411"/>
      <c r="AH421" s="405"/>
      <c r="AI421" s="405"/>
      <c r="AJ421" s="405"/>
      <c r="AK421" s="405"/>
      <c r="AL421" s="405"/>
      <c r="AM421" s="405"/>
      <c r="AN421" s="405"/>
      <c r="AO421" s="405"/>
      <c r="AP421" s="258" t="s">
        <v>94</v>
      </c>
      <c r="AQ421" s="258" t="s">
        <v>450</v>
      </c>
      <c r="AR421" s="411"/>
      <c r="AS421" s="411"/>
      <c r="AT421" s="411"/>
      <c r="AU421" s="411"/>
      <c r="AV421" s="411"/>
      <c r="AW421" s="411"/>
      <c r="AX421" s="411"/>
      <c r="AY421" s="411"/>
      <c r="AZ421" s="411"/>
      <c r="BA421" s="411"/>
      <c r="BB421" s="411"/>
      <c r="BC421" s="411"/>
      <c r="BD421" s="411"/>
      <c r="BE421" s="411"/>
      <c r="BF421" s="411"/>
      <c r="BG421" s="411"/>
      <c r="BH421" s="411"/>
      <c r="BI421" s="411"/>
      <c r="BJ421" s="411"/>
      <c r="BK421" s="411"/>
      <c r="BL421" s="411"/>
      <c r="BM421" s="411"/>
      <c r="BN421" s="411"/>
      <c r="BO421" s="411"/>
      <c r="BP421" s="411"/>
      <c r="BQ421" s="411"/>
      <c r="BR421" s="411"/>
      <c r="BS421" s="411"/>
      <c r="BT421" s="411"/>
      <c r="BU421" s="411"/>
      <c r="BV421" s="411"/>
      <c r="BW421" s="411"/>
      <c r="BX421" s="411"/>
      <c r="BY421" s="411"/>
      <c r="BZ421" s="411"/>
    </row>
    <row r="422" spans="1:78" x14ac:dyDescent="0.2">
      <c r="A422" s="422">
        <v>147</v>
      </c>
      <c r="B422" s="423" t="str">
        <f>IF(Stammblatt!$L$4=1,'Kalkulation Herstellungskosten'!AP422,'Kalkulation Herstellungskosten'!AQ422)</f>
        <v>Büromaterial/Porti</v>
      </c>
      <c r="C422" s="424"/>
      <c r="D422" s="425"/>
      <c r="E422" s="426"/>
      <c r="F422" s="426"/>
      <c r="G422" s="37">
        <v>0</v>
      </c>
      <c r="H422" s="427"/>
      <c r="I422" s="428"/>
      <c r="J422" s="429"/>
      <c r="K422" s="427"/>
      <c r="L422" s="427"/>
      <c r="M422" s="427"/>
      <c r="N422" s="430"/>
      <c r="O422" s="749"/>
      <c r="P422" s="742"/>
      <c r="Q422" s="743"/>
      <c r="R422" s="741"/>
      <c r="S422" s="751"/>
      <c r="T422" s="758"/>
      <c r="U422" s="741"/>
      <c r="V422" s="808">
        <f>SUM(T422:U422)</f>
        <v>0</v>
      </c>
      <c r="W422" s="808">
        <f>G422-V422</f>
        <v>0</v>
      </c>
      <c r="X422" s="749"/>
      <c r="Y422" s="744"/>
      <c r="Z422" s="743"/>
      <c r="AA422" s="741"/>
      <c r="AB422" s="391"/>
      <c r="AC422" s="401"/>
      <c r="AD422" s="92"/>
      <c r="AE422" s="92"/>
      <c r="AF422" s="92"/>
      <c r="AG422" s="561">
        <f>SUM(G422,AD422:AF422)</f>
        <v>0</v>
      </c>
      <c r="AH422" s="405"/>
      <c r="AI422" s="405"/>
      <c r="AJ422" s="405"/>
      <c r="AK422" s="405"/>
      <c r="AL422" s="405"/>
      <c r="AM422" s="405"/>
      <c r="AN422" s="405"/>
      <c r="AO422" s="405"/>
      <c r="AP422" s="258" t="s">
        <v>95</v>
      </c>
      <c r="AQ422" s="258" t="s">
        <v>422</v>
      </c>
      <c r="AR422" s="281"/>
      <c r="AS422" s="281"/>
      <c r="AT422" s="281"/>
      <c r="AU422" s="281"/>
      <c r="AV422" s="281"/>
      <c r="AW422" s="281"/>
      <c r="AX422" s="281"/>
      <c r="AY422" s="281"/>
      <c r="AZ422" s="281"/>
      <c r="BA422" s="281"/>
      <c r="BB422" s="281"/>
      <c r="BC422" s="281"/>
      <c r="BD422" s="281"/>
      <c r="BE422" s="281"/>
      <c r="BF422" s="281"/>
      <c r="BG422" s="281"/>
      <c r="BH422" s="281"/>
      <c r="BI422" s="281"/>
      <c r="BJ422" s="281"/>
      <c r="BK422" s="281"/>
      <c r="BL422" s="281"/>
      <c r="BM422" s="281"/>
      <c r="BN422" s="281"/>
      <c r="BO422" s="281"/>
      <c r="BP422" s="281"/>
      <c r="BQ422" s="281"/>
      <c r="BR422" s="281"/>
      <c r="BS422" s="281"/>
      <c r="BT422" s="281"/>
      <c r="BU422" s="281"/>
      <c r="BV422" s="281"/>
      <c r="BW422" s="281"/>
      <c r="BX422" s="281"/>
      <c r="BY422" s="281"/>
      <c r="BZ422" s="281"/>
    </row>
    <row r="423" spans="1:78" x14ac:dyDescent="0.2">
      <c r="A423" s="398"/>
      <c r="B423" s="286" t="str">
        <f>IF(Stammblatt!$L$4=1,'Kalkulation Herstellungskosten'!AP423,'Kalkulation Herstellungskosten'!AQ423)</f>
        <v>Kommunikation</v>
      </c>
      <c r="C423" s="399"/>
      <c r="D423" s="391"/>
      <c r="E423" s="400"/>
      <c r="F423" s="400"/>
      <c r="G423" s="281"/>
      <c r="H423" s="281"/>
      <c r="I423" s="457"/>
      <c r="J423" s="458"/>
      <c r="K423" s="281"/>
      <c r="L423" s="281"/>
      <c r="M423" s="281"/>
      <c r="N423" s="459"/>
      <c r="O423" s="435"/>
      <c r="P423" s="435"/>
      <c r="Q423" s="435"/>
      <c r="R423" s="435"/>
      <c r="S423" s="751"/>
      <c r="T423" s="746"/>
      <c r="U423" s="435"/>
      <c r="V423" s="809"/>
      <c r="W423" s="809"/>
      <c r="X423" s="435"/>
      <c r="Y423" s="435"/>
      <c r="Z423" s="435"/>
      <c r="AA423" s="435"/>
      <c r="AB423" s="391"/>
      <c r="AC423" s="401"/>
      <c r="AD423" s="281"/>
      <c r="AE423" s="281"/>
      <c r="AF423" s="281"/>
      <c r="AG423" s="818"/>
      <c r="AH423" s="405"/>
      <c r="AI423" s="405"/>
      <c r="AJ423" s="405"/>
      <c r="AK423" s="405"/>
      <c r="AL423" s="405"/>
      <c r="AM423" s="405"/>
      <c r="AN423" s="405"/>
      <c r="AO423" s="405"/>
      <c r="AP423" s="258" t="s">
        <v>438</v>
      </c>
      <c r="AQ423" s="258" t="s">
        <v>439</v>
      </c>
      <c r="AR423" s="281"/>
      <c r="AS423" s="281"/>
      <c r="AT423" s="281"/>
      <c r="AU423" s="281"/>
      <c r="AV423" s="281"/>
      <c r="AW423" s="281"/>
      <c r="AX423" s="281"/>
      <c r="AY423" s="281"/>
      <c r="AZ423" s="281"/>
      <c r="BA423" s="281"/>
      <c r="BB423" s="281"/>
      <c r="BC423" s="281"/>
      <c r="BD423" s="281"/>
      <c r="BE423" s="281"/>
      <c r="BF423" s="281"/>
      <c r="BG423" s="281"/>
      <c r="BH423" s="281"/>
      <c r="BI423" s="281"/>
      <c r="BJ423" s="281"/>
      <c r="BK423" s="281"/>
      <c r="BL423" s="281"/>
      <c r="BM423" s="281"/>
      <c r="BN423" s="281"/>
      <c r="BO423" s="281"/>
      <c r="BP423" s="281"/>
      <c r="BQ423" s="281"/>
      <c r="BR423" s="281"/>
      <c r="BS423" s="281"/>
      <c r="BT423" s="281"/>
      <c r="BU423" s="281"/>
      <c r="BV423" s="281"/>
      <c r="BW423" s="281"/>
      <c r="BX423" s="281"/>
      <c r="BY423" s="281"/>
      <c r="BZ423" s="281"/>
    </row>
    <row r="424" spans="1:78" x14ac:dyDescent="0.2">
      <c r="A424" s="422">
        <v>148</v>
      </c>
      <c r="B424" s="423" t="str">
        <f>IF(Stammblatt!$L$4=1,'Kalkulation Herstellungskosten'!AP424,'Kalkulation Herstellungskosten'!AQ424)</f>
        <v>Telefon/Fax</v>
      </c>
      <c r="C424" s="424"/>
      <c r="D424" s="425"/>
      <c r="E424" s="426"/>
      <c r="F424" s="426"/>
      <c r="G424" s="37">
        <v>0</v>
      </c>
      <c r="H424" s="427"/>
      <c r="I424" s="428"/>
      <c r="J424" s="429"/>
      <c r="K424" s="427"/>
      <c r="L424" s="427"/>
      <c r="M424" s="427"/>
      <c r="N424" s="430"/>
      <c r="O424" s="749"/>
      <c r="P424" s="742"/>
      <c r="Q424" s="743"/>
      <c r="R424" s="741"/>
      <c r="S424" s="751"/>
      <c r="T424" s="758"/>
      <c r="U424" s="741"/>
      <c r="V424" s="808">
        <f>SUM(T424:U424)</f>
        <v>0</v>
      </c>
      <c r="W424" s="808">
        <f>G424-V424</f>
        <v>0</v>
      </c>
      <c r="X424" s="749"/>
      <c r="Y424" s="744"/>
      <c r="Z424" s="743"/>
      <c r="AA424" s="741"/>
      <c r="AB424" s="391"/>
      <c r="AC424" s="401"/>
      <c r="AD424" s="92"/>
      <c r="AE424" s="92"/>
      <c r="AF424" s="92"/>
      <c r="AG424" s="561">
        <f>SUM(G424,AD424:AF424)</f>
        <v>0</v>
      </c>
      <c r="AH424" s="405"/>
      <c r="AI424" s="405"/>
      <c r="AJ424" s="405"/>
      <c r="AK424" s="405"/>
      <c r="AL424" s="405"/>
      <c r="AM424" s="405"/>
      <c r="AN424" s="405"/>
      <c r="AO424" s="405"/>
      <c r="AP424" s="258" t="s">
        <v>96</v>
      </c>
      <c r="AQ424" s="258" t="s">
        <v>423</v>
      </c>
      <c r="AR424" s="281"/>
      <c r="AS424" s="281"/>
      <c r="AT424" s="281"/>
      <c r="AU424" s="281"/>
      <c r="AV424" s="281"/>
      <c r="AW424" s="281"/>
      <c r="AX424" s="281"/>
      <c r="AY424" s="281"/>
      <c r="AZ424" s="281"/>
      <c r="BA424" s="281"/>
      <c r="BB424" s="281"/>
      <c r="BC424" s="281"/>
      <c r="BD424" s="281"/>
      <c r="BE424" s="281"/>
      <c r="BF424" s="281"/>
      <c r="BG424" s="281"/>
      <c r="BH424" s="281"/>
      <c r="BI424" s="281"/>
      <c r="BJ424" s="281"/>
      <c r="BK424" s="281"/>
      <c r="BL424" s="281"/>
      <c r="BM424" s="281"/>
      <c r="BN424" s="281"/>
      <c r="BO424" s="281"/>
      <c r="BP424" s="281"/>
      <c r="BQ424" s="281"/>
      <c r="BR424" s="281"/>
      <c r="BS424" s="281"/>
      <c r="BT424" s="281"/>
      <c r="BU424" s="281"/>
      <c r="BV424" s="281"/>
      <c r="BW424" s="281"/>
      <c r="BX424" s="281"/>
      <c r="BY424" s="281"/>
      <c r="BZ424" s="281"/>
    </row>
    <row r="425" spans="1:78" x14ac:dyDescent="0.2">
      <c r="A425" s="422">
        <v>149</v>
      </c>
      <c r="B425" s="423" t="str">
        <f>IF(Stammblatt!$L$4=1,'Kalkulation Herstellungskosten'!AP425,'Kalkulation Herstellungskosten'!AQ425)</f>
        <v>Mobiltelefone</v>
      </c>
      <c r="C425" s="424"/>
      <c r="D425" s="425"/>
      <c r="E425" s="426"/>
      <c r="F425" s="426"/>
      <c r="G425" s="37">
        <v>0</v>
      </c>
      <c r="H425" s="427"/>
      <c r="I425" s="428"/>
      <c r="J425" s="460"/>
      <c r="K425" s="461"/>
      <c r="L425" s="461"/>
      <c r="M425" s="461"/>
      <c r="N425" s="462"/>
      <c r="O425" s="749"/>
      <c r="P425" s="742"/>
      <c r="Q425" s="743"/>
      <c r="R425" s="741"/>
      <c r="S425" s="751"/>
      <c r="T425" s="758"/>
      <c r="U425" s="741"/>
      <c r="V425" s="808">
        <f>SUM(T425:U425)</f>
        <v>0</v>
      </c>
      <c r="W425" s="808">
        <f>G425-V425</f>
        <v>0</v>
      </c>
      <c r="X425" s="749"/>
      <c r="Y425" s="744"/>
      <c r="Z425" s="743"/>
      <c r="AA425" s="741"/>
      <c r="AB425" s="391"/>
      <c r="AC425" s="401"/>
      <c r="AD425" s="92"/>
      <c r="AE425" s="92"/>
      <c r="AF425" s="92"/>
      <c r="AG425" s="561">
        <f>SUM(G425,AD425:AF425)</f>
        <v>0</v>
      </c>
      <c r="AH425" s="405"/>
      <c r="AI425" s="405"/>
      <c r="AJ425" s="405"/>
      <c r="AK425" s="405"/>
      <c r="AL425" s="405"/>
      <c r="AM425" s="405"/>
      <c r="AN425" s="405"/>
      <c r="AO425" s="405"/>
      <c r="AP425" s="258" t="s">
        <v>97</v>
      </c>
      <c r="AQ425" s="258" t="s">
        <v>424</v>
      </c>
      <c r="AR425" s="281"/>
      <c r="AS425" s="281"/>
      <c r="AT425" s="281"/>
      <c r="AU425" s="281"/>
      <c r="AV425" s="281"/>
      <c r="AW425" s="281"/>
      <c r="AX425" s="281"/>
      <c r="AY425" s="281"/>
      <c r="AZ425" s="281"/>
      <c r="BA425" s="281"/>
      <c r="BB425" s="281"/>
      <c r="BC425" s="281"/>
      <c r="BD425" s="281"/>
      <c r="BE425" s="281"/>
      <c r="BF425" s="281"/>
      <c r="BG425" s="281"/>
      <c r="BH425" s="281"/>
      <c r="BI425" s="281"/>
      <c r="BJ425" s="281"/>
      <c r="BK425" s="281"/>
      <c r="BL425" s="281"/>
      <c r="BM425" s="281"/>
      <c r="BN425" s="281"/>
      <c r="BO425" s="281"/>
      <c r="BP425" s="281"/>
      <c r="BQ425" s="281"/>
      <c r="BR425" s="281"/>
      <c r="BS425" s="281"/>
      <c r="BT425" s="281"/>
      <c r="BU425" s="281"/>
      <c r="BV425" s="281"/>
      <c r="BW425" s="281"/>
      <c r="BX425" s="281"/>
      <c r="BY425" s="281"/>
      <c r="BZ425" s="281"/>
    </row>
    <row r="426" spans="1:78" x14ac:dyDescent="0.2">
      <c r="A426" s="422">
        <v>150</v>
      </c>
      <c r="B426" s="423" t="str">
        <f>IF(Stammblatt!$L$4=1,'Kalkulation Herstellungskosten'!AP426,'Kalkulation Herstellungskosten'!AQ426)</f>
        <v xml:space="preserve">Außerhalb der Pauschalen </v>
      </c>
      <c r="C426" s="424"/>
      <c r="D426" s="425"/>
      <c r="E426" s="426"/>
      <c r="F426" s="426"/>
      <c r="G426" s="37">
        <v>0</v>
      </c>
      <c r="H426" s="427"/>
      <c r="I426" s="428"/>
      <c r="J426" s="460"/>
      <c r="K426" s="461"/>
      <c r="L426" s="461"/>
      <c r="M426" s="461"/>
      <c r="N426" s="462"/>
      <c r="O426" s="749"/>
      <c r="P426" s="742"/>
      <c r="Q426" s="743"/>
      <c r="R426" s="741"/>
      <c r="S426" s="751"/>
      <c r="T426" s="758"/>
      <c r="U426" s="741"/>
      <c r="V426" s="808">
        <f>SUM(T426:U426)</f>
        <v>0</v>
      </c>
      <c r="W426" s="808">
        <f>G426-V426</f>
        <v>0</v>
      </c>
      <c r="X426" s="749"/>
      <c r="Y426" s="744"/>
      <c r="Z426" s="743"/>
      <c r="AA426" s="741"/>
      <c r="AB426" s="391"/>
      <c r="AC426" s="401"/>
      <c r="AD426" s="92"/>
      <c r="AE426" s="92"/>
      <c r="AF426" s="92"/>
      <c r="AG426" s="561">
        <f>SUM(G426,AD426:AF426)</f>
        <v>0</v>
      </c>
      <c r="AH426" s="405"/>
      <c r="AI426" s="405"/>
      <c r="AJ426" s="405"/>
      <c r="AK426" s="405"/>
      <c r="AL426" s="405"/>
      <c r="AM426" s="405"/>
      <c r="AN426" s="405"/>
      <c r="AO426" s="405"/>
      <c r="AP426" s="258" t="s">
        <v>98</v>
      </c>
      <c r="AQ426" s="258" t="s">
        <v>425</v>
      </c>
      <c r="AR426" s="281"/>
      <c r="AS426" s="281"/>
      <c r="AT426" s="281"/>
      <c r="AU426" s="281"/>
      <c r="AV426" s="281"/>
      <c r="AW426" s="281"/>
      <c r="AX426" s="281"/>
      <c r="AY426" s="281"/>
      <c r="AZ426" s="281"/>
      <c r="BA426" s="281"/>
      <c r="BB426" s="281"/>
      <c r="BC426" s="281"/>
      <c r="BD426" s="281"/>
      <c r="BE426" s="281"/>
      <c r="BF426" s="281"/>
      <c r="BG426" s="281"/>
      <c r="BH426" s="281"/>
      <c r="BI426" s="281"/>
      <c r="BJ426" s="281"/>
      <c r="BK426" s="281"/>
      <c r="BL426" s="281"/>
      <c r="BM426" s="281"/>
      <c r="BN426" s="281"/>
      <c r="BO426" s="281"/>
      <c r="BP426" s="281"/>
      <c r="BQ426" s="281"/>
      <c r="BR426" s="281"/>
      <c r="BS426" s="281"/>
      <c r="BT426" s="281"/>
      <c r="BU426" s="281"/>
      <c r="BV426" s="281"/>
      <c r="BW426" s="281"/>
      <c r="BX426" s="281"/>
      <c r="BY426" s="281"/>
      <c r="BZ426" s="281"/>
    </row>
    <row r="427" spans="1:78" x14ac:dyDescent="0.2">
      <c r="A427" s="422">
        <v>151</v>
      </c>
      <c r="B427" s="423" t="str">
        <f>IF(Stammblatt!$L$4=1,'Kalkulation Herstellungskosten'!AP427,'Kalkulation Herstellungskosten'!AQ427)</f>
        <v>Außenaufnahmen</v>
      </c>
      <c r="C427" s="424"/>
      <c r="D427" s="425"/>
      <c r="E427" s="426"/>
      <c r="F427" s="426"/>
      <c r="G427" s="37">
        <v>0</v>
      </c>
      <c r="H427" s="427"/>
      <c r="I427" s="428"/>
      <c r="J427" s="460"/>
      <c r="K427" s="461"/>
      <c r="L427" s="461"/>
      <c r="M427" s="461"/>
      <c r="N427" s="462"/>
      <c r="O427" s="749"/>
      <c r="P427" s="742"/>
      <c r="Q427" s="743"/>
      <c r="R427" s="741"/>
      <c r="S427" s="751"/>
      <c r="T427" s="758"/>
      <c r="U427" s="741"/>
      <c r="V427" s="808">
        <f>SUM(T427:U427)</f>
        <v>0</v>
      </c>
      <c r="W427" s="808">
        <f>G427-V427</f>
        <v>0</v>
      </c>
      <c r="X427" s="749"/>
      <c r="Y427" s="744"/>
      <c r="Z427" s="743"/>
      <c r="AA427" s="741"/>
      <c r="AB427" s="391"/>
      <c r="AC427" s="401"/>
      <c r="AD427" s="92"/>
      <c r="AE427" s="92"/>
      <c r="AF427" s="92"/>
      <c r="AG427" s="561">
        <f>SUM(G427,AD427:AF427)</f>
        <v>0</v>
      </c>
      <c r="AH427" s="405"/>
      <c r="AI427" s="405"/>
      <c r="AJ427" s="405"/>
      <c r="AK427" s="405"/>
      <c r="AL427" s="405"/>
      <c r="AM427" s="405"/>
      <c r="AN427" s="405"/>
      <c r="AO427" s="405"/>
      <c r="AP427" s="258" t="s">
        <v>99</v>
      </c>
      <c r="AQ427" s="258" t="s">
        <v>504</v>
      </c>
      <c r="AR427" s="281"/>
      <c r="AS427" s="281"/>
      <c r="AT427" s="281"/>
      <c r="AU427" s="281"/>
      <c r="AV427" s="281"/>
      <c r="AW427" s="281"/>
      <c r="AX427" s="281"/>
      <c r="AY427" s="281"/>
      <c r="AZ427" s="281"/>
      <c r="BA427" s="281"/>
      <c r="BB427" s="281"/>
      <c r="BC427" s="281"/>
      <c r="BD427" s="281"/>
      <c r="BE427" s="281"/>
      <c r="BF427" s="281"/>
      <c r="BG427" s="281"/>
      <c r="BH427" s="281"/>
      <c r="BI427" s="281"/>
      <c r="BJ427" s="281"/>
      <c r="BK427" s="281"/>
      <c r="BL427" s="281"/>
      <c r="BM427" s="281"/>
      <c r="BN427" s="281"/>
      <c r="BO427" s="281"/>
      <c r="BP427" s="281"/>
      <c r="BQ427" s="281"/>
      <c r="BR427" s="281"/>
      <c r="BS427" s="281"/>
      <c r="BT427" s="281"/>
      <c r="BU427" s="281"/>
      <c r="BV427" s="281"/>
      <c r="BW427" s="281"/>
      <c r="BX427" s="281"/>
      <c r="BY427" s="281"/>
      <c r="BZ427" s="281"/>
    </row>
    <row r="428" spans="1:78" x14ac:dyDescent="0.2">
      <c r="A428" s="398"/>
      <c r="B428" s="286" t="str">
        <f>IF(Stammblatt!$L$4=1,'Kalkulation Herstellungskosten'!AP428,'Kalkulation Herstellungskosten'!AQ428)</f>
        <v>Schreiben, Vervielfältigungen:</v>
      </c>
      <c r="C428" s="399"/>
      <c r="D428" s="391"/>
      <c r="E428" s="400"/>
      <c r="F428" s="400"/>
      <c r="G428" s="400"/>
      <c r="H428" s="431"/>
      <c r="I428" s="394"/>
      <c r="J428" s="432"/>
      <c r="K428" s="431"/>
      <c r="L428" s="431"/>
      <c r="M428" s="431"/>
      <c r="N428" s="433"/>
      <c r="O428" s="745"/>
      <c r="P428" s="745"/>
      <c r="Q428" s="745"/>
      <c r="R428" s="745"/>
      <c r="S428" s="751"/>
      <c r="T428" s="746"/>
      <c r="U428" s="435"/>
      <c r="V428" s="809"/>
      <c r="W428" s="809"/>
      <c r="X428" s="745"/>
      <c r="Y428" s="745"/>
      <c r="Z428" s="745"/>
      <c r="AA428" s="745"/>
      <c r="AB428" s="391"/>
      <c r="AC428" s="401"/>
      <c r="AD428" s="400"/>
      <c r="AE428" s="400"/>
      <c r="AF428" s="400"/>
      <c r="AG428" s="818"/>
      <c r="AH428" s="405"/>
      <c r="AI428" s="405"/>
      <c r="AJ428" s="405"/>
      <c r="AK428" s="405"/>
      <c r="AL428" s="405"/>
      <c r="AM428" s="405"/>
      <c r="AN428" s="405"/>
      <c r="AO428" s="405"/>
      <c r="AP428" s="258" t="s">
        <v>100</v>
      </c>
      <c r="AQ428" s="258" t="s">
        <v>426</v>
      </c>
      <c r="AR428" s="281"/>
      <c r="AS428" s="281"/>
      <c r="AT428" s="281"/>
      <c r="AU428" s="281"/>
      <c r="AV428" s="281"/>
      <c r="AW428" s="281"/>
      <c r="AX428" s="281"/>
      <c r="AY428" s="281"/>
      <c r="AZ428" s="281"/>
      <c r="BA428" s="281"/>
      <c r="BB428" s="281"/>
      <c r="BC428" s="281"/>
      <c r="BD428" s="281"/>
      <c r="BE428" s="281"/>
      <c r="BF428" s="281"/>
      <c r="BG428" s="281"/>
      <c r="BH428" s="281"/>
      <c r="BI428" s="281"/>
      <c r="BJ428" s="281"/>
      <c r="BK428" s="281"/>
      <c r="BL428" s="281"/>
      <c r="BM428" s="281"/>
      <c r="BN428" s="281"/>
      <c r="BO428" s="281"/>
      <c r="BP428" s="281"/>
      <c r="BQ428" s="281"/>
      <c r="BR428" s="281"/>
      <c r="BS428" s="281"/>
      <c r="BT428" s="281"/>
      <c r="BU428" s="281"/>
      <c r="BV428" s="281"/>
      <c r="BW428" s="281"/>
      <c r="BX428" s="281"/>
      <c r="BY428" s="281"/>
      <c r="BZ428" s="281"/>
    </row>
    <row r="429" spans="1:78" x14ac:dyDescent="0.2">
      <c r="A429" s="422">
        <v>152</v>
      </c>
      <c r="B429" s="423" t="str">
        <f>IF(Stammblatt!$L$4=1,'Kalkulation Herstellungskosten'!AP429,'Kalkulation Herstellungskosten'!AQ429)</f>
        <v>Treatment</v>
      </c>
      <c r="C429" s="424"/>
      <c r="D429" s="425"/>
      <c r="E429" s="426"/>
      <c r="F429" s="426"/>
      <c r="G429" s="37">
        <v>0</v>
      </c>
      <c r="H429" s="427"/>
      <c r="I429" s="428"/>
      <c r="J429" s="429"/>
      <c r="K429" s="427"/>
      <c r="L429" s="427"/>
      <c r="M429" s="427"/>
      <c r="N429" s="430"/>
      <c r="O429" s="749"/>
      <c r="P429" s="742"/>
      <c r="Q429" s="743"/>
      <c r="R429" s="741"/>
      <c r="S429" s="751"/>
      <c r="T429" s="758"/>
      <c r="U429" s="741"/>
      <c r="V429" s="808">
        <f>SUM(T429:U429)</f>
        <v>0</v>
      </c>
      <c r="W429" s="808">
        <f>G429-V429</f>
        <v>0</v>
      </c>
      <c r="X429" s="749"/>
      <c r="Y429" s="744"/>
      <c r="Z429" s="743"/>
      <c r="AA429" s="741"/>
      <c r="AB429" s="391"/>
      <c r="AC429" s="401"/>
      <c r="AD429" s="92"/>
      <c r="AE429" s="92"/>
      <c r="AF429" s="92"/>
      <c r="AG429" s="561">
        <f>SUM(G429,AD429:AF429)</f>
        <v>0</v>
      </c>
      <c r="AH429" s="405"/>
      <c r="AI429" s="405"/>
      <c r="AJ429" s="405"/>
      <c r="AK429" s="405"/>
      <c r="AL429" s="405"/>
      <c r="AM429" s="405"/>
      <c r="AN429" s="405"/>
      <c r="AO429" s="405"/>
      <c r="AP429" s="258" t="s">
        <v>34</v>
      </c>
      <c r="AQ429" s="258" t="s">
        <v>34</v>
      </c>
      <c r="AR429" s="281"/>
      <c r="AS429" s="281"/>
      <c r="AT429" s="281"/>
      <c r="AU429" s="281"/>
      <c r="AV429" s="281"/>
      <c r="AW429" s="281"/>
      <c r="AX429" s="281"/>
      <c r="AY429" s="281"/>
      <c r="AZ429" s="281"/>
      <c r="BA429" s="281"/>
      <c r="BB429" s="281"/>
      <c r="BC429" s="281"/>
      <c r="BD429" s="281"/>
      <c r="BE429" s="281"/>
      <c r="BF429" s="281"/>
      <c r="BG429" s="281"/>
      <c r="BH429" s="281"/>
      <c r="BI429" s="281"/>
      <c r="BJ429" s="281"/>
      <c r="BK429" s="281"/>
      <c r="BL429" s="281"/>
      <c r="BM429" s="281"/>
      <c r="BN429" s="281"/>
      <c r="BO429" s="281"/>
      <c r="BP429" s="281"/>
      <c r="BQ429" s="281"/>
      <c r="BR429" s="281"/>
      <c r="BS429" s="281"/>
      <c r="BT429" s="281"/>
      <c r="BU429" s="281"/>
      <c r="BV429" s="281"/>
      <c r="BW429" s="281"/>
      <c r="BX429" s="281"/>
      <c r="BY429" s="281"/>
      <c r="BZ429" s="281"/>
    </row>
    <row r="430" spans="1:78" x14ac:dyDescent="0.2">
      <c r="A430" s="422">
        <v>153</v>
      </c>
      <c r="B430" s="423" t="str">
        <f>IF(Stammblatt!$L$4=1,'Kalkulation Herstellungskosten'!AP430,'Kalkulation Herstellungskosten'!AQ430)</f>
        <v>Drehbuch (einschließlich Kopien)</v>
      </c>
      <c r="C430" s="424"/>
      <c r="D430" s="425"/>
      <c r="E430" s="426"/>
      <c r="F430" s="426"/>
      <c r="G430" s="37">
        <v>0</v>
      </c>
      <c r="H430" s="427"/>
      <c r="I430" s="428"/>
      <c r="J430" s="460"/>
      <c r="K430" s="461"/>
      <c r="L430" s="461"/>
      <c r="M430" s="461"/>
      <c r="N430" s="462"/>
      <c r="O430" s="749"/>
      <c r="P430" s="742"/>
      <c r="Q430" s="743"/>
      <c r="R430" s="741"/>
      <c r="S430" s="751"/>
      <c r="T430" s="758"/>
      <c r="U430" s="741"/>
      <c r="V430" s="808">
        <f>SUM(T430:U430)</f>
        <v>0</v>
      </c>
      <c r="W430" s="808">
        <f>G430-V430</f>
        <v>0</v>
      </c>
      <c r="X430" s="749"/>
      <c r="Y430" s="744"/>
      <c r="Z430" s="743"/>
      <c r="AA430" s="741"/>
      <c r="AB430" s="391"/>
      <c r="AC430" s="401"/>
      <c r="AD430" s="92"/>
      <c r="AE430" s="92"/>
      <c r="AF430" s="92"/>
      <c r="AG430" s="561">
        <f>SUM(G430,AD430:AF430)</f>
        <v>0</v>
      </c>
      <c r="AH430" s="405"/>
      <c r="AI430" s="405"/>
      <c r="AJ430" s="405"/>
      <c r="AK430" s="405"/>
      <c r="AL430" s="405"/>
      <c r="AM430" s="405"/>
      <c r="AN430" s="405"/>
      <c r="AO430" s="405"/>
      <c r="AP430" s="258" t="s">
        <v>101</v>
      </c>
      <c r="AQ430" s="258" t="s">
        <v>427</v>
      </c>
      <c r="AR430" s="281"/>
      <c r="AS430" s="281"/>
      <c r="AT430" s="281"/>
      <c r="AU430" s="281"/>
      <c r="AV430" s="281"/>
      <c r="AW430" s="281"/>
      <c r="AX430" s="281"/>
      <c r="AY430" s="281"/>
      <c r="AZ430" s="281"/>
      <c r="BA430" s="281"/>
      <c r="BB430" s="281"/>
      <c r="BC430" s="281"/>
      <c r="BD430" s="281"/>
      <c r="BE430" s="281"/>
      <c r="BF430" s="281"/>
      <c r="BG430" s="281"/>
      <c r="BH430" s="281"/>
      <c r="BI430" s="281"/>
      <c r="BJ430" s="281"/>
      <c r="BK430" s="281"/>
      <c r="BL430" s="281"/>
      <c r="BM430" s="281"/>
      <c r="BN430" s="281"/>
      <c r="BO430" s="281"/>
      <c r="BP430" s="281"/>
      <c r="BQ430" s="281"/>
      <c r="BR430" s="281"/>
      <c r="BS430" s="281"/>
      <c r="BT430" s="281"/>
      <c r="BU430" s="281"/>
      <c r="BV430" s="281"/>
      <c r="BW430" s="281"/>
      <c r="BX430" s="281"/>
      <c r="BY430" s="281"/>
      <c r="BZ430" s="281"/>
    </row>
    <row r="431" spans="1:78" x14ac:dyDescent="0.2">
      <c r="A431" s="422">
        <v>154</v>
      </c>
      <c r="B431" s="423" t="str">
        <f>IF(Stammblatt!$L$4=1,'Kalkulation Herstellungskosten'!AP431,'Kalkulation Herstellungskosten'!AQ431)</f>
        <v>Dispos/Tagesberichte</v>
      </c>
      <c r="C431" s="424"/>
      <c r="D431" s="425"/>
      <c r="E431" s="426"/>
      <c r="F431" s="426"/>
      <c r="G431" s="37">
        <v>0</v>
      </c>
      <c r="H431" s="427"/>
      <c r="I431" s="428"/>
      <c r="J431" s="460"/>
      <c r="K431" s="461"/>
      <c r="L431" s="461"/>
      <c r="M431" s="461"/>
      <c r="N431" s="462"/>
      <c r="O431" s="749"/>
      <c r="P431" s="742"/>
      <c r="Q431" s="743"/>
      <c r="R431" s="741"/>
      <c r="S431" s="751"/>
      <c r="T431" s="758"/>
      <c r="U431" s="741"/>
      <c r="V431" s="808">
        <f>SUM(T431:U431)</f>
        <v>0</v>
      </c>
      <c r="W431" s="808">
        <f>G431-V431</f>
        <v>0</v>
      </c>
      <c r="X431" s="749"/>
      <c r="Y431" s="744"/>
      <c r="Z431" s="743"/>
      <c r="AA431" s="741"/>
      <c r="AB431" s="391"/>
      <c r="AC431" s="401"/>
      <c r="AD431" s="92"/>
      <c r="AE431" s="92"/>
      <c r="AF431" s="92"/>
      <c r="AG431" s="561">
        <f>SUM(G431,AD431:AF431)</f>
        <v>0</v>
      </c>
      <c r="AH431" s="405"/>
      <c r="AI431" s="405"/>
      <c r="AJ431" s="405"/>
      <c r="AK431" s="405"/>
      <c r="AL431" s="405"/>
      <c r="AM431" s="405"/>
      <c r="AN431" s="405"/>
      <c r="AO431" s="405"/>
      <c r="AP431" s="258" t="s">
        <v>102</v>
      </c>
      <c r="AQ431" s="258" t="s">
        <v>428</v>
      </c>
      <c r="AR431" s="281"/>
      <c r="AS431" s="281"/>
      <c r="AT431" s="281"/>
      <c r="AU431" s="281"/>
      <c r="AV431" s="281"/>
      <c r="AW431" s="281"/>
      <c r="AX431" s="281"/>
      <c r="AY431" s="281"/>
      <c r="AZ431" s="281"/>
      <c r="BA431" s="281"/>
      <c r="BB431" s="281"/>
      <c r="BC431" s="281"/>
      <c r="BD431" s="281"/>
      <c r="BE431" s="281"/>
      <c r="BF431" s="281"/>
      <c r="BG431" s="281"/>
      <c r="BH431" s="281"/>
      <c r="BI431" s="281"/>
      <c r="BJ431" s="281"/>
      <c r="BK431" s="281"/>
      <c r="BL431" s="281"/>
      <c r="BM431" s="281"/>
      <c r="BN431" s="281"/>
      <c r="BO431" s="281"/>
      <c r="BP431" s="281"/>
      <c r="BQ431" s="281"/>
      <c r="BR431" s="281"/>
      <c r="BS431" s="281"/>
      <c r="BT431" s="281"/>
      <c r="BU431" s="281"/>
      <c r="BV431" s="281"/>
      <c r="BW431" s="281"/>
      <c r="BX431" s="281"/>
      <c r="BY431" s="281"/>
      <c r="BZ431" s="281"/>
    </row>
    <row r="432" spans="1:78" x14ac:dyDescent="0.2">
      <c r="A432" s="422">
        <v>155</v>
      </c>
      <c r="B432" s="423" t="str">
        <f>IF(Stammblatt!$L$4=1,'Kalkulation Herstellungskosten'!AP432,'Kalkulation Herstellungskosten'!AQ432)</f>
        <v>Übersetzungen</v>
      </c>
      <c r="C432" s="424"/>
      <c r="D432" s="425"/>
      <c r="E432" s="426"/>
      <c r="F432" s="426"/>
      <c r="G432" s="37">
        <v>0</v>
      </c>
      <c r="H432" s="427"/>
      <c r="I432" s="428"/>
      <c r="J432" s="460"/>
      <c r="K432" s="461"/>
      <c r="L432" s="461"/>
      <c r="M432" s="461"/>
      <c r="N432" s="462"/>
      <c r="O432" s="749"/>
      <c r="P432" s="742"/>
      <c r="Q432" s="743"/>
      <c r="R432" s="741"/>
      <c r="S432" s="751"/>
      <c r="T432" s="758"/>
      <c r="U432" s="741"/>
      <c r="V432" s="808">
        <f>SUM(T432:U432)</f>
        <v>0</v>
      </c>
      <c r="W432" s="808">
        <f>G432-V432</f>
        <v>0</v>
      </c>
      <c r="X432" s="749"/>
      <c r="Y432" s="744"/>
      <c r="Z432" s="743"/>
      <c r="AA432" s="741"/>
      <c r="AB432" s="391"/>
      <c r="AC432" s="401"/>
      <c r="AD432" s="92"/>
      <c r="AE432" s="92"/>
      <c r="AF432" s="92"/>
      <c r="AG432" s="561">
        <f>SUM(G432,AD432:AF432)</f>
        <v>0</v>
      </c>
      <c r="AH432" s="405"/>
      <c r="AI432" s="405"/>
      <c r="AJ432" s="405"/>
      <c r="AK432" s="405"/>
      <c r="AL432" s="405"/>
      <c r="AM432" s="405"/>
      <c r="AN432" s="405"/>
      <c r="AO432" s="405"/>
      <c r="AP432" s="258" t="s">
        <v>103</v>
      </c>
      <c r="AQ432" s="258" t="s">
        <v>429</v>
      </c>
      <c r="AR432" s="281"/>
      <c r="AS432" s="281"/>
      <c r="AT432" s="281"/>
      <c r="AU432" s="281"/>
      <c r="AV432" s="281"/>
      <c r="AW432" s="281"/>
      <c r="AX432" s="281"/>
      <c r="AY432" s="281"/>
      <c r="AZ432" s="281"/>
      <c r="BA432" s="281"/>
      <c r="BB432" s="281"/>
      <c r="BC432" s="281"/>
      <c r="BD432" s="281"/>
      <c r="BE432" s="281"/>
      <c r="BF432" s="281"/>
      <c r="BG432" s="281"/>
      <c r="BH432" s="281"/>
      <c r="BI432" s="281"/>
      <c r="BJ432" s="281"/>
      <c r="BK432" s="281"/>
      <c r="BL432" s="281"/>
      <c r="BM432" s="281"/>
      <c r="BN432" s="281"/>
      <c r="BO432" s="281"/>
      <c r="BP432" s="281"/>
      <c r="BQ432" s="281"/>
      <c r="BR432" s="281"/>
      <c r="BS432" s="281"/>
      <c r="BT432" s="281"/>
      <c r="BU432" s="281"/>
      <c r="BV432" s="281"/>
      <c r="BW432" s="281"/>
      <c r="BX432" s="281"/>
      <c r="BY432" s="281"/>
      <c r="BZ432" s="281"/>
    </row>
    <row r="433" spans="1:78" x14ac:dyDescent="0.2">
      <c r="A433" s="422">
        <v>156</v>
      </c>
      <c r="B433" s="423" t="s">
        <v>551</v>
      </c>
      <c r="C433" s="424"/>
      <c r="D433" s="425"/>
      <c r="E433" s="426"/>
      <c r="F433" s="426"/>
      <c r="G433" s="37">
        <v>0</v>
      </c>
      <c r="H433" s="427"/>
      <c r="I433" s="428"/>
      <c r="J433" s="460"/>
      <c r="K433" s="461"/>
      <c r="L433" s="461"/>
      <c r="M433" s="461"/>
      <c r="N433" s="462"/>
      <c r="O433" s="749"/>
      <c r="P433" s="742"/>
      <c r="Q433" s="743"/>
      <c r="R433" s="741"/>
      <c r="S433" s="751"/>
      <c r="T433" s="758"/>
      <c r="U433" s="741"/>
      <c r="V433" s="808">
        <f>SUM(T433:U433)</f>
        <v>0</v>
      </c>
      <c r="W433" s="808">
        <f>G433-V433</f>
        <v>0</v>
      </c>
      <c r="X433" s="749"/>
      <c r="Y433" s="744"/>
      <c r="Z433" s="743"/>
      <c r="AA433" s="741"/>
      <c r="AB433" s="391"/>
      <c r="AC433" s="401"/>
      <c r="AD433" s="426"/>
      <c r="AE433" s="426"/>
      <c r="AF433" s="426"/>
      <c r="AG433" s="561">
        <f>SUM(G433,AD433:AF433)</f>
        <v>0</v>
      </c>
      <c r="AH433" s="405"/>
      <c r="AI433" s="405"/>
      <c r="AJ433" s="405"/>
      <c r="AK433" s="405"/>
      <c r="AL433" s="405"/>
      <c r="AM433" s="405"/>
      <c r="AN433" s="405"/>
      <c r="AO433" s="405"/>
      <c r="AP433" s="258"/>
      <c r="AQ433" s="258"/>
      <c r="AR433" s="281"/>
      <c r="AS433" s="281"/>
      <c r="AT433" s="281"/>
      <c r="AU433" s="281"/>
      <c r="AV433" s="281"/>
      <c r="AW433" s="281"/>
      <c r="AX433" s="281"/>
      <c r="AY433" s="281"/>
      <c r="AZ433" s="281"/>
      <c r="BA433" s="281"/>
      <c r="BB433" s="281"/>
      <c r="BC433" s="281"/>
      <c r="BD433" s="281"/>
      <c r="BE433" s="281"/>
      <c r="BF433" s="281"/>
      <c r="BG433" s="281"/>
      <c r="BH433" s="281"/>
      <c r="BI433" s="281"/>
      <c r="BJ433" s="281"/>
      <c r="BK433" s="281"/>
      <c r="BL433" s="281"/>
      <c r="BM433" s="281"/>
      <c r="BN433" s="281"/>
      <c r="BO433" s="281"/>
      <c r="BP433" s="281"/>
      <c r="BQ433" s="281"/>
      <c r="BR433" s="281"/>
      <c r="BS433" s="281"/>
      <c r="BT433" s="281"/>
      <c r="BU433" s="281"/>
      <c r="BV433" s="281"/>
      <c r="BW433" s="281"/>
      <c r="BX433" s="281"/>
      <c r="BY433" s="281"/>
      <c r="BZ433" s="281"/>
    </row>
    <row r="434" spans="1:78" x14ac:dyDescent="0.2">
      <c r="A434" s="398"/>
      <c r="B434" s="286"/>
      <c r="C434" s="399"/>
      <c r="D434" s="391"/>
      <c r="E434" s="400"/>
      <c r="F434" s="400"/>
      <c r="G434" s="400"/>
      <c r="H434" s="431"/>
      <c r="I434" s="394"/>
      <c r="J434" s="432"/>
      <c r="K434" s="431"/>
      <c r="L434" s="431"/>
      <c r="M434" s="431"/>
      <c r="N434" s="433"/>
      <c r="O434" s="745"/>
      <c r="P434" s="745"/>
      <c r="Q434" s="745"/>
      <c r="R434" s="745"/>
      <c r="S434" s="751"/>
      <c r="T434" s="746"/>
      <c r="U434" s="435"/>
      <c r="V434" s="435"/>
      <c r="W434" s="435"/>
      <c r="X434" s="745"/>
      <c r="Y434" s="745"/>
      <c r="Z434" s="745"/>
      <c r="AA434" s="745"/>
      <c r="AB434" s="391"/>
      <c r="AC434" s="401"/>
      <c r="AD434" s="400"/>
      <c r="AE434" s="400"/>
      <c r="AF434" s="400"/>
      <c r="AG434" s="281"/>
      <c r="AH434" s="405"/>
      <c r="AI434" s="405"/>
      <c r="AJ434" s="405"/>
      <c r="AK434" s="405"/>
      <c r="AL434" s="405"/>
      <c r="AM434" s="405"/>
      <c r="AN434" s="405"/>
      <c r="AO434" s="405"/>
      <c r="AP434" s="258"/>
      <c r="AQ434" s="258"/>
      <c r="AR434" s="281"/>
      <c r="AS434" s="281"/>
      <c r="AT434" s="281"/>
      <c r="AU434" s="281"/>
      <c r="AV434" s="281"/>
      <c r="AW434" s="281"/>
      <c r="AX434" s="281"/>
      <c r="AY434" s="281"/>
      <c r="AZ434" s="281"/>
      <c r="BA434" s="281"/>
      <c r="BB434" s="281"/>
      <c r="BC434" s="281"/>
      <c r="BD434" s="281"/>
      <c r="BE434" s="281"/>
      <c r="BF434" s="281"/>
      <c r="BG434" s="281"/>
      <c r="BH434" s="281"/>
      <c r="BI434" s="281"/>
      <c r="BJ434" s="281"/>
      <c r="BK434" s="281"/>
      <c r="BL434" s="281"/>
      <c r="BM434" s="281"/>
      <c r="BN434" s="281"/>
      <c r="BO434" s="281"/>
      <c r="BP434" s="281"/>
      <c r="BQ434" s="281"/>
      <c r="BR434" s="281"/>
      <c r="BS434" s="281"/>
      <c r="BT434" s="281"/>
      <c r="BU434" s="281"/>
      <c r="BV434" s="281"/>
      <c r="BW434" s="281"/>
      <c r="BX434" s="281"/>
      <c r="BY434" s="281"/>
      <c r="BZ434" s="281"/>
    </row>
    <row r="435" spans="1:78" x14ac:dyDescent="0.2">
      <c r="A435" s="112"/>
      <c r="B435" s="65" t="str">
        <f>IF(Stammblatt!$L$4=1,'Kalkulation Herstellungskosten'!AP435,'Kalkulation Herstellungskosten'!AQ435)</f>
        <v>Σ-Allgemeine Kosten</v>
      </c>
      <c r="C435" s="31"/>
      <c r="D435" s="40"/>
      <c r="E435" s="39"/>
      <c r="F435" s="39"/>
      <c r="G435" s="39">
        <f>SUM(G422:G434)</f>
        <v>0</v>
      </c>
      <c r="H435" s="39"/>
      <c r="I435" s="135"/>
      <c r="J435" s="143"/>
      <c r="K435" s="39"/>
      <c r="L435" s="39"/>
      <c r="M435" s="39"/>
      <c r="N435" s="141"/>
      <c r="O435" s="747">
        <f>SUM(O422:O434)</f>
        <v>0</v>
      </c>
      <c r="P435" s="747">
        <f>SUM(P422:P434)</f>
        <v>0</v>
      </c>
      <c r="Q435" s="113">
        <f>SUM(Q422:Q434)</f>
        <v>0</v>
      </c>
      <c r="R435" s="113">
        <f>SUM(R422:R434)</f>
        <v>0</v>
      </c>
      <c r="S435" s="751"/>
      <c r="T435" s="748">
        <f>SUM(T422:T434)</f>
        <v>0</v>
      </c>
      <c r="U435" s="113">
        <f>SUM(U422:U434)</f>
        <v>0</v>
      </c>
      <c r="V435" s="113">
        <f>SUM(V422:V434)</f>
        <v>0</v>
      </c>
      <c r="W435" s="113">
        <f>ZS_11_Allgemeine_Kosten-V435</f>
        <v>0</v>
      </c>
      <c r="X435" s="747">
        <f>SUM(X422:X434)</f>
        <v>0</v>
      </c>
      <c r="Y435" s="747">
        <f>SUM(Y422:Y434)</f>
        <v>0</v>
      </c>
      <c r="Z435" s="747">
        <f>SUM(Z422:Z434)</f>
        <v>0</v>
      </c>
      <c r="AA435" s="747">
        <f>SUM(AA422:AA434)</f>
        <v>0</v>
      </c>
      <c r="AB435" s="391"/>
      <c r="AC435" s="401"/>
      <c r="AD435" s="104">
        <f>SUM(AD422:AD434)</f>
        <v>0</v>
      </c>
      <c r="AE435" s="104">
        <f>SUM(AE422:AE434)</f>
        <v>0</v>
      </c>
      <c r="AF435" s="104">
        <f>SUM(AF422:AF434)</f>
        <v>0</v>
      </c>
      <c r="AG435" s="39">
        <f>SUM(G435,AD435:AF435)</f>
        <v>0</v>
      </c>
      <c r="AH435" s="405"/>
      <c r="AI435" s="405"/>
      <c r="AJ435" s="405"/>
      <c r="AK435" s="405"/>
      <c r="AL435" s="405"/>
      <c r="AM435" s="405"/>
      <c r="AN435" s="405"/>
      <c r="AO435" s="405"/>
      <c r="AP435" s="258" t="s">
        <v>244</v>
      </c>
      <c r="AQ435" s="258" t="s">
        <v>451</v>
      </c>
      <c r="AR435" s="281"/>
      <c r="AS435" s="281"/>
      <c r="AT435" s="281"/>
      <c r="AU435" s="281"/>
      <c r="AV435" s="281"/>
      <c r="AW435" s="281"/>
      <c r="AX435" s="281"/>
      <c r="AY435" s="281"/>
      <c r="AZ435" s="281"/>
      <c r="BA435" s="281"/>
      <c r="BB435" s="281"/>
      <c r="BC435" s="281"/>
      <c r="BD435" s="281"/>
      <c r="BE435" s="281"/>
      <c r="BF435" s="281"/>
      <c r="BG435" s="281"/>
      <c r="BH435" s="281"/>
      <c r="BI435" s="281"/>
      <c r="BJ435" s="281"/>
      <c r="BK435" s="281"/>
      <c r="BL435" s="281"/>
      <c r="BM435" s="281"/>
      <c r="BN435" s="281"/>
      <c r="BO435" s="281"/>
      <c r="BP435" s="281"/>
      <c r="BQ435" s="281"/>
      <c r="BR435" s="281"/>
      <c r="BS435" s="281"/>
      <c r="BT435" s="281"/>
      <c r="BU435" s="281"/>
      <c r="BV435" s="281"/>
      <c r="BW435" s="281"/>
      <c r="BX435" s="281"/>
      <c r="BY435" s="281"/>
      <c r="BZ435" s="281"/>
    </row>
    <row r="436" spans="1:78" x14ac:dyDescent="0.2">
      <c r="A436" s="398"/>
      <c r="B436" s="286"/>
      <c r="C436" s="399"/>
      <c r="D436" s="391"/>
      <c r="E436" s="400"/>
      <c r="F436" s="400"/>
      <c r="G436" s="400"/>
      <c r="H436" s="431"/>
      <c r="I436" s="394"/>
      <c r="J436" s="432"/>
      <c r="K436" s="431"/>
      <c r="L436" s="431"/>
      <c r="M436" s="431"/>
      <c r="N436" s="433"/>
      <c r="O436" s="745"/>
      <c r="P436" s="745"/>
      <c r="Q436" s="745"/>
      <c r="R436" s="745"/>
      <c r="S436" s="751"/>
      <c r="T436" s="746"/>
      <c r="U436" s="435"/>
      <c r="V436" s="435"/>
      <c r="W436" s="435"/>
      <c r="X436" s="435"/>
      <c r="Y436" s="745"/>
      <c r="Z436" s="745"/>
      <c r="AA436" s="745"/>
      <c r="AB436" s="391"/>
      <c r="AC436" s="401"/>
      <c r="AD436" s="400"/>
      <c r="AE436" s="400"/>
      <c r="AF436" s="400"/>
      <c r="AG436" s="281"/>
      <c r="AH436" s="405"/>
      <c r="AI436" s="405"/>
      <c r="AJ436" s="405"/>
      <c r="AK436" s="405"/>
      <c r="AL436" s="405"/>
      <c r="AM436" s="405"/>
      <c r="AN436" s="405"/>
      <c r="AO436" s="405"/>
      <c r="AP436" s="258"/>
      <c r="AQ436" s="258"/>
      <c r="AR436" s="281"/>
      <c r="AS436" s="281"/>
      <c r="AT436" s="281"/>
      <c r="AU436" s="281"/>
      <c r="AV436" s="281"/>
      <c r="AW436" s="281"/>
      <c r="AX436" s="281"/>
      <c r="AY436" s="281"/>
      <c r="AZ436" s="281"/>
      <c r="BA436" s="281"/>
      <c r="BB436" s="281"/>
      <c r="BC436" s="281"/>
      <c r="BD436" s="281"/>
      <c r="BE436" s="281"/>
      <c r="BF436" s="281"/>
      <c r="BG436" s="281"/>
      <c r="BH436" s="281"/>
      <c r="BI436" s="281"/>
      <c r="BJ436" s="281"/>
      <c r="BK436" s="281"/>
      <c r="BL436" s="281"/>
      <c r="BM436" s="281"/>
      <c r="BN436" s="281"/>
      <c r="BO436" s="281"/>
      <c r="BP436" s="281"/>
      <c r="BQ436" s="281"/>
      <c r="BR436" s="281"/>
      <c r="BS436" s="281"/>
      <c r="BT436" s="281"/>
      <c r="BU436" s="281"/>
      <c r="BV436" s="281"/>
      <c r="BW436" s="281"/>
      <c r="BX436" s="281"/>
      <c r="BY436" s="281"/>
      <c r="BZ436" s="281"/>
    </row>
    <row r="437" spans="1:78" x14ac:dyDescent="0.2">
      <c r="A437" s="398"/>
      <c r="B437" s="286"/>
      <c r="C437" s="399"/>
      <c r="D437" s="391"/>
      <c r="E437" s="400"/>
      <c r="F437" s="400"/>
      <c r="G437" s="400"/>
      <c r="H437" s="431"/>
      <c r="I437" s="394"/>
      <c r="J437" s="432"/>
      <c r="K437" s="431"/>
      <c r="L437" s="431"/>
      <c r="M437" s="431"/>
      <c r="N437" s="433"/>
      <c r="O437" s="745"/>
      <c r="P437" s="745"/>
      <c r="Q437" s="745"/>
      <c r="R437" s="745"/>
      <c r="S437" s="751"/>
      <c r="T437" s="746"/>
      <c r="U437" s="435"/>
      <c r="V437" s="435"/>
      <c r="W437" s="435"/>
      <c r="X437" s="435"/>
      <c r="Y437" s="745"/>
      <c r="Z437" s="745"/>
      <c r="AA437" s="745"/>
      <c r="AB437" s="391"/>
      <c r="AC437" s="401"/>
      <c r="AD437" s="400"/>
      <c r="AE437" s="400"/>
      <c r="AF437" s="400"/>
      <c r="AG437" s="281"/>
      <c r="AH437" s="405"/>
      <c r="AI437" s="405"/>
      <c r="AJ437" s="405"/>
      <c r="AK437" s="405"/>
      <c r="AL437" s="405"/>
      <c r="AM437" s="405"/>
      <c r="AN437" s="405"/>
      <c r="AO437" s="405"/>
      <c r="AP437" s="258"/>
      <c r="AQ437" s="258"/>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row>
    <row r="438" spans="1:78" s="25" customFormat="1" x14ac:dyDescent="0.2">
      <c r="A438" s="406"/>
      <c r="B438" s="296" t="str">
        <f>IF(Stammblatt!$L$4=1,'Kalkulation Herstellungskosten'!AP438,'Kalkulation Herstellungskosten'!AQ438)</f>
        <v>12. Kostenmindernde Erträge</v>
      </c>
      <c r="C438" s="403"/>
      <c r="D438" s="407"/>
      <c r="E438" s="408"/>
      <c r="F438" s="408"/>
      <c r="G438" s="408"/>
      <c r="H438" s="401"/>
      <c r="I438" s="402"/>
      <c r="J438" s="409"/>
      <c r="K438" s="401"/>
      <c r="L438" s="401"/>
      <c r="M438" s="401"/>
      <c r="N438" s="410"/>
      <c r="O438" s="737"/>
      <c r="P438" s="737"/>
      <c r="Q438" s="737"/>
      <c r="R438" s="737"/>
      <c r="S438" s="751"/>
      <c r="T438" s="740"/>
      <c r="U438" s="441"/>
      <c r="V438" s="441"/>
      <c r="W438" s="441"/>
      <c r="X438" s="441"/>
      <c r="Y438" s="737"/>
      <c r="Z438" s="737"/>
      <c r="AA438" s="737"/>
      <c r="AB438" s="391"/>
      <c r="AC438" s="401"/>
      <c r="AD438" s="408"/>
      <c r="AE438" s="408"/>
      <c r="AF438" s="408"/>
      <c r="AG438" s="411"/>
      <c r="AH438" s="405"/>
      <c r="AI438" s="405"/>
      <c r="AJ438" s="405"/>
      <c r="AK438" s="405"/>
      <c r="AL438" s="405"/>
      <c r="AM438" s="405"/>
      <c r="AN438" s="405"/>
      <c r="AO438" s="405"/>
      <c r="AP438" s="258" t="s">
        <v>104</v>
      </c>
      <c r="AQ438" s="258" t="s">
        <v>436</v>
      </c>
      <c r="AR438" s="411"/>
      <c r="AS438" s="411"/>
      <c r="AT438" s="411"/>
      <c r="AU438" s="411"/>
      <c r="AV438" s="411"/>
      <c r="AW438" s="411"/>
      <c r="AX438" s="411"/>
      <c r="AY438" s="411"/>
      <c r="AZ438" s="411"/>
      <c r="BA438" s="411"/>
      <c r="BB438" s="411"/>
      <c r="BC438" s="411"/>
      <c r="BD438" s="411"/>
      <c r="BE438" s="411"/>
      <c r="BF438" s="411"/>
      <c r="BG438" s="411"/>
      <c r="BH438" s="411"/>
      <c r="BI438" s="411"/>
      <c r="BJ438" s="411"/>
      <c r="BK438" s="411"/>
      <c r="BL438" s="411"/>
      <c r="BM438" s="411"/>
      <c r="BN438" s="411"/>
      <c r="BO438" s="411"/>
      <c r="BP438" s="411"/>
      <c r="BQ438" s="411"/>
      <c r="BR438" s="411"/>
      <c r="BS438" s="411"/>
      <c r="BT438" s="411"/>
      <c r="BU438" s="411"/>
      <c r="BV438" s="411"/>
      <c r="BW438" s="411"/>
      <c r="BX438" s="411"/>
      <c r="BY438" s="411"/>
      <c r="BZ438" s="411"/>
    </row>
    <row r="439" spans="1:78" x14ac:dyDescent="0.2">
      <c r="A439" s="422">
        <v>157</v>
      </c>
      <c r="B439" s="423" t="str">
        <f>IF(Stammblatt!$L$4=1,'Kalkulation Herstellungskosten'!AP439,'Kalkulation Herstellungskosten'!AQ439)</f>
        <v>aus Versicherungsleistungen (inkl. Prämienrückvergütungen)</v>
      </c>
      <c r="C439" s="424"/>
      <c r="D439" s="425"/>
      <c r="E439" s="426"/>
      <c r="F439" s="426"/>
      <c r="G439" s="105"/>
      <c r="H439" s="450"/>
      <c r="I439" s="451"/>
      <c r="J439" s="452"/>
      <c r="K439" s="450"/>
      <c r="L439" s="450"/>
      <c r="M439" s="450"/>
      <c r="N439" s="453"/>
      <c r="O439" s="105"/>
      <c r="P439" s="742"/>
      <c r="Q439" s="105"/>
      <c r="R439" s="105"/>
      <c r="S439" s="751"/>
      <c r="T439" s="758"/>
      <c r="U439" s="105"/>
      <c r="V439" s="564">
        <f>SUM(T439:U439)</f>
        <v>0</v>
      </c>
      <c r="W439" s="564">
        <f>G439-V439</f>
        <v>0</v>
      </c>
      <c r="X439" s="105"/>
      <c r="Y439" s="744"/>
      <c r="Z439" s="105"/>
      <c r="AA439" s="105"/>
      <c r="AB439" s="391"/>
      <c r="AC439" s="401"/>
      <c r="AD439" s="94"/>
      <c r="AE439" s="94"/>
      <c r="AF439" s="94"/>
      <c r="AG439" s="426">
        <f>SUM(G439,AD439:AF439)</f>
        <v>0</v>
      </c>
      <c r="AH439" s="405"/>
      <c r="AI439" s="405"/>
      <c r="AJ439" s="405"/>
      <c r="AK439" s="405"/>
      <c r="AL439" s="405"/>
      <c r="AM439" s="405"/>
      <c r="AN439" s="405"/>
      <c r="AO439" s="405"/>
      <c r="AP439" s="258" t="s">
        <v>213</v>
      </c>
      <c r="AQ439" s="258" t="s">
        <v>430</v>
      </c>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c r="BM439" s="281"/>
      <c r="BN439" s="281"/>
      <c r="BO439" s="281"/>
      <c r="BP439" s="281"/>
      <c r="BQ439" s="281"/>
      <c r="BR439" s="281"/>
      <c r="BS439" s="281"/>
      <c r="BT439" s="281"/>
      <c r="BU439" s="281"/>
      <c r="BV439" s="281"/>
      <c r="BW439" s="281"/>
      <c r="BX439" s="281"/>
      <c r="BY439" s="281"/>
      <c r="BZ439" s="281"/>
    </row>
    <row r="440" spans="1:78" x14ac:dyDescent="0.2">
      <c r="A440" s="422">
        <v>158</v>
      </c>
      <c r="B440" s="423" t="str">
        <f>IF(Stammblatt!$L$4=1,'Kalkulation Herstellungskosten'!AP440,'Kalkulation Herstellungskosten'!AQ440)</f>
        <v>aus Verkauf von Sachen (Fundus ua)</v>
      </c>
      <c r="C440" s="424"/>
      <c r="D440" s="425"/>
      <c r="E440" s="426"/>
      <c r="F440" s="426"/>
      <c r="G440" s="105">
        <v>0</v>
      </c>
      <c r="H440" s="450"/>
      <c r="I440" s="451"/>
      <c r="J440" s="454"/>
      <c r="K440" s="455"/>
      <c r="L440" s="455"/>
      <c r="M440" s="455"/>
      <c r="N440" s="456"/>
      <c r="O440" s="105"/>
      <c r="P440" s="742"/>
      <c r="Q440" s="105"/>
      <c r="R440" s="105"/>
      <c r="S440" s="751"/>
      <c r="T440" s="758"/>
      <c r="U440" s="105"/>
      <c r="V440" s="564">
        <f>SUM(T440:U440)</f>
        <v>0</v>
      </c>
      <c r="W440" s="564">
        <f>G440-V440</f>
        <v>0</v>
      </c>
      <c r="X440" s="105"/>
      <c r="Y440" s="744"/>
      <c r="Z440" s="105"/>
      <c r="AA440" s="105"/>
      <c r="AB440" s="391"/>
      <c r="AC440" s="401"/>
      <c r="AD440" s="94"/>
      <c r="AE440" s="94"/>
      <c r="AF440" s="94"/>
      <c r="AG440" s="426">
        <f>SUM(G440,AD440:AF440)</f>
        <v>0</v>
      </c>
      <c r="AH440" s="405"/>
      <c r="AI440" s="405"/>
      <c r="AJ440" s="405"/>
      <c r="AK440" s="405"/>
      <c r="AL440" s="405"/>
      <c r="AM440" s="405"/>
      <c r="AN440" s="405"/>
      <c r="AO440" s="405"/>
      <c r="AP440" s="258" t="s">
        <v>105</v>
      </c>
      <c r="AQ440" s="258" t="s">
        <v>431</v>
      </c>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row>
    <row r="441" spans="1:78" x14ac:dyDescent="0.2">
      <c r="A441" s="422">
        <v>159</v>
      </c>
      <c r="B441" s="423" t="str">
        <f>IF(Stammblatt!$L$4=1,'Kalkulation Herstellungskosten'!AP441,'Kalkulation Herstellungskosten'!AQ441)</f>
        <v>aus Verkauf von Rechten (Musik ua)</v>
      </c>
      <c r="C441" s="424"/>
      <c r="D441" s="425"/>
      <c r="E441" s="426"/>
      <c r="F441" s="426"/>
      <c r="G441" s="105">
        <v>0</v>
      </c>
      <c r="H441" s="450"/>
      <c r="I441" s="451"/>
      <c r="J441" s="454"/>
      <c r="K441" s="455"/>
      <c r="L441" s="455"/>
      <c r="M441" s="455"/>
      <c r="N441" s="456"/>
      <c r="O441" s="105"/>
      <c r="P441" s="742"/>
      <c r="Q441" s="105"/>
      <c r="R441" s="105"/>
      <c r="S441" s="751"/>
      <c r="T441" s="758"/>
      <c r="U441" s="105"/>
      <c r="V441" s="564">
        <f>SUM(T441:U441)</f>
        <v>0</v>
      </c>
      <c r="W441" s="564">
        <f>G441-V441</f>
        <v>0</v>
      </c>
      <c r="X441" s="105"/>
      <c r="Y441" s="744"/>
      <c r="Z441" s="105"/>
      <c r="AA441" s="105"/>
      <c r="AB441" s="391"/>
      <c r="AC441" s="401"/>
      <c r="AD441" s="94"/>
      <c r="AE441" s="94"/>
      <c r="AF441" s="94"/>
      <c r="AG441" s="426">
        <f>SUM(G441,AD441:AF441)</f>
        <v>0</v>
      </c>
      <c r="AH441" s="405"/>
      <c r="AI441" s="405"/>
      <c r="AJ441" s="405"/>
      <c r="AK441" s="405"/>
      <c r="AL441" s="405"/>
      <c r="AM441" s="405"/>
      <c r="AN441" s="405"/>
      <c r="AO441" s="405"/>
      <c r="AP441" s="258" t="s">
        <v>106</v>
      </c>
      <c r="AQ441" s="258" t="s">
        <v>432</v>
      </c>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row>
    <row r="442" spans="1:78" x14ac:dyDescent="0.2">
      <c r="A442" s="422">
        <v>160</v>
      </c>
      <c r="B442" s="423" t="str">
        <f>IF(Stammblatt!$L$4=1,'Kalkulation Herstellungskosten'!AP442,'Kalkulation Herstellungskosten'!AQ442)</f>
        <v>aus Werbung, von Sponsoren</v>
      </c>
      <c r="C442" s="424"/>
      <c r="D442" s="425"/>
      <c r="E442" s="426"/>
      <c r="F442" s="426"/>
      <c r="G442" s="105">
        <v>0</v>
      </c>
      <c r="H442" s="450"/>
      <c r="I442" s="451"/>
      <c r="J442" s="454"/>
      <c r="K442" s="455"/>
      <c r="L442" s="455"/>
      <c r="M442" s="455"/>
      <c r="N442" s="456"/>
      <c r="O442" s="105"/>
      <c r="P442" s="742"/>
      <c r="Q442" s="105"/>
      <c r="R442" s="105"/>
      <c r="S442" s="751"/>
      <c r="T442" s="758"/>
      <c r="U442" s="105"/>
      <c r="V442" s="564">
        <f>SUM(T442:U442)</f>
        <v>0</v>
      </c>
      <c r="W442" s="564">
        <f>G442-V442</f>
        <v>0</v>
      </c>
      <c r="X442" s="105"/>
      <c r="Y442" s="744"/>
      <c r="Z442" s="105"/>
      <c r="AA442" s="105"/>
      <c r="AB442" s="391"/>
      <c r="AC442" s="401"/>
      <c r="AD442" s="94"/>
      <c r="AE442" s="94"/>
      <c r="AF442" s="94"/>
      <c r="AG442" s="426">
        <f>SUM(G442,AD442:AF442)</f>
        <v>0</v>
      </c>
      <c r="AH442" s="405"/>
      <c r="AI442" s="405"/>
      <c r="AJ442" s="405"/>
      <c r="AK442" s="405"/>
      <c r="AL442" s="405"/>
      <c r="AM442" s="405"/>
      <c r="AN442" s="405"/>
      <c r="AO442" s="405"/>
      <c r="AP442" s="258" t="s">
        <v>107</v>
      </c>
      <c r="AQ442" s="258" t="s">
        <v>433</v>
      </c>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row>
    <row r="443" spans="1:78" x14ac:dyDescent="0.2">
      <c r="A443" s="422">
        <v>161</v>
      </c>
      <c r="B443" s="423" t="str">
        <f>IF(Stammblatt!$L$4=1,'Kalkulation Herstellungskosten'!AP443,'Kalkulation Herstellungskosten'!AQ443)</f>
        <v>Sonstige *)</v>
      </c>
      <c r="C443" s="424"/>
      <c r="D443" s="425"/>
      <c r="E443" s="426"/>
      <c r="F443" s="426"/>
      <c r="G443" s="105">
        <v>0</v>
      </c>
      <c r="H443" s="450"/>
      <c r="I443" s="451"/>
      <c r="J443" s="454"/>
      <c r="K443" s="455"/>
      <c r="L443" s="455"/>
      <c r="M443" s="455"/>
      <c r="N443" s="456"/>
      <c r="O443" s="105"/>
      <c r="P443" s="742"/>
      <c r="Q443" s="105"/>
      <c r="R443" s="105"/>
      <c r="S443" s="751"/>
      <c r="T443" s="758"/>
      <c r="U443" s="105"/>
      <c r="V443" s="564">
        <f>SUM(T443:U443)</f>
        <v>0</v>
      </c>
      <c r="W443" s="564">
        <f>G443-V443</f>
        <v>0</v>
      </c>
      <c r="X443" s="105"/>
      <c r="Y443" s="744"/>
      <c r="Z443" s="105"/>
      <c r="AA443" s="105"/>
      <c r="AB443" s="391"/>
      <c r="AC443" s="401"/>
      <c r="AD443" s="94"/>
      <c r="AE443" s="94"/>
      <c r="AF443" s="94"/>
      <c r="AG443" s="426">
        <f>SUM(G443,AD443:AF443)</f>
        <v>0</v>
      </c>
      <c r="AH443" s="405"/>
      <c r="AI443" s="405"/>
      <c r="AJ443" s="405"/>
      <c r="AK443" s="405"/>
      <c r="AL443" s="405"/>
      <c r="AM443" s="405"/>
      <c r="AN443" s="405"/>
      <c r="AO443" s="405"/>
      <c r="AP443" s="258" t="s">
        <v>89</v>
      </c>
      <c r="AQ443" s="258" t="s">
        <v>380</v>
      </c>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row>
    <row r="444" spans="1:78" x14ac:dyDescent="0.2">
      <c r="A444" s="398"/>
      <c r="B444" s="286"/>
      <c r="C444" s="399"/>
      <c r="D444" s="391"/>
      <c r="E444" s="400"/>
      <c r="F444" s="400"/>
      <c r="G444" s="400"/>
      <c r="H444" s="431"/>
      <c r="I444" s="394"/>
      <c r="J444" s="432"/>
      <c r="K444" s="431"/>
      <c r="L444" s="431"/>
      <c r="M444" s="431"/>
      <c r="N444" s="433"/>
      <c r="O444" s="745"/>
      <c r="P444" s="745"/>
      <c r="Q444" s="745"/>
      <c r="R444" s="745"/>
      <c r="S444" s="751"/>
      <c r="T444" s="746"/>
      <c r="U444" s="435"/>
      <c r="V444" s="435"/>
      <c r="W444" s="435"/>
      <c r="X444" s="435"/>
      <c r="Y444" s="745"/>
      <c r="Z444" s="745"/>
      <c r="AA444" s="745"/>
      <c r="AB444" s="391"/>
      <c r="AC444" s="401"/>
      <c r="AD444" s="400"/>
      <c r="AE444" s="400"/>
      <c r="AF444" s="400"/>
      <c r="AG444" s="281"/>
      <c r="AH444" s="405"/>
      <c r="AI444" s="405"/>
      <c r="AJ444" s="405"/>
      <c r="AK444" s="405"/>
      <c r="AL444" s="405"/>
      <c r="AM444" s="405"/>
      <c r="AN444" s="405"/>
      <c r="AO444" s="405"/>
      <c r="AP444" s="258"/>
      <c r="AQ444" s="258"/>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row>
    <row r="445" spans="1:78" ht="13.5" thickBot="1" x14ac:dyDescent="0.25">
      <c r="A445" s="112"/>
      <c r="B445" s="65" t="str">
        <f>IF(Stammblatt!$L$4=1,'Kalkulation Herstellungskosten'!AP445,'Kalkulation Herstellungskosten'!AQ445)</f>
        <v>Σ-Kostenmindernde Erträge</v>
      </c>
      <c r="C445" s="31"/>
      <c r="D445" s="40"/>
      <c r="E445" s="39"/>
      <c r="F445" s="39"/>
      <c r="G445" s="39">
        <f>SUM(G439:G444)</f>
        <v>0</v>
      </c>
      <c r="H445" s="39"/>
      <c r="I445" s="135"/>
      <c r="J445" s="143"/>
      <c r="K445" s="39"/>
      <c r="L445" s="39"/>
      <c r="M445" s="39"/>
      <c r="N445" s="141"/>
      <c r="O445" s="747">
        <f t="shared" ref="O445:P445" si="184">SUM(O439:O444)</f>
        <v>0</v>
      </c>
      <c r="P445" s="747">
        <f t="shared" si="184"/>
        <v>0</v>
      </c>
      <c r="Q445" s="113">
        <f t="shared" ref="Q445:R445" si="185">SUM(Q439:Q444)</f>
        <v>0</v>
      </c>
      <c r="R445" s="113">
        <f t="shared" si="185"/>
        <v>0</v>
      </c>
      <c r="S445" s="751"/>
      <c r="T445" s="776">
        <f>SUM(T439:T444)</f>
        <v>0</v>
      </c>
      <c r="U445" s="115">
        <f>SUM(U439:U444)</f>
        <v>0</v>
      </c>
      <c r="V445" s="115">
        <f>SUM(V439:V444)</f>
        <v>0</v>
      </c>
      <c r="W445" s="115">
        <f>ZS_12_Kostenmindernde_Erträge-V445</f>
        <v>0</v>
      </c>
      <c r="X445" s="115">
        <f>SUM(X439:X443)</f>
        <v>0</v>
      </c>
      <c r="Y445" s="777">
        <f t="shared" ref="Y445:AA445" si="186">SUM(Y439:Y444)</f>
        <v>0</v>
      </c>
      <c r="Z445" s="115">
        <f t="shared" si="186"/>
        <v>0</v>
      </c>
      <c r="AA445" s="115">
        <f t="shared" si="186"/>
        <v>0</v>
      </c>
      <c r="AB445" s="391"/>
      <c r="AC445" s="401"/>
      <c r="AD445" s="104">
        <f t="shared" ref="AD445:AF445" si="187">SUM(AD439:AD444)</f>
        <v>0</v>
      </c>
      <c r="AE445" s="104">
        <f t="shared" si="187"/>
        <v>0</v>
      </c>
      <c r="AF445" s="104">
        <f t="shared" si="187"/>
        <v>0</v>
      </c>
      <c r="AG445" s="39">
        <f>SUM(G445,AD445:AF445)</f>
        <v>0</v>
      </c>
      <c r="AH445" s="405"/>
      <c r="AI445" s="405"/>
      <c r="AJ445" s="405"/>
      <c r="AK445" s="405"/>
      <c r="AL445" s="405"/>
      <c r="AM445" s="405"/>
      <c r="AN445" s="405"/>
      <c r="AO445" s="405"/>
      <c r="AP445" s="258" t="s">
        <v>245</v>
      </c>
      <c r="AQ445" s="258" t="s">
        <v>437</v>
      </c>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c r="BM445" s="281"/>
      <c r="BN445" s="281"/>
      <c r="BO445" s="281"/>
      <c r="BP445" s="281"/>
      <c r="BQ445" s="281"/>
      <c r="BR445" s="281"/>
      <c r="BS445" s="281"/>
      <c r="BT445" s="281"/>
      <c r="BU445" s="281"/>
      <c r="BV445" s="281"/>
      <c r="BW445" s="281"/>
      <c r="BX445" s="281"/>
      <c r="BY445" s="281"/>
      <c r="BZ445" s="281"/>
    </row>
    <row r="446" spans="1:78" x14ac:dyDescent="0.2">
      <c r="A446" s="398"/>
      <c r="B446" s="286"/>
      <c r="C446" s="399"/>
      <c r="D446" s="391"/>
      <c r="E446" s="400"/>
      <c r="F446" s="400"/>
      <c r="G446" s="400"/>
      <c r="H446" s="431"/>
      <c r="I446" s="394"/>
      <c r="J446" s="431"/>
      <c r="K446" s="431"/>
      <c r="L446" s="431"/>
      <c r="M446" s="431"/>
      <c r="N446" s="400"/>
      <c r="O446" s="745"/>
      <c r="P446" s="745"/>
      <c r="Q446" s="745"/>
      <c r="R446" s="745"/>
      <c r="S446" s="751"/>
      <c r="T446" s="745"/>
      <c r="U446" s="745"/>
      <c r="V446" s="745"/>
      <c r="W446" s="745"/>
      <c r="X446" s="745"/>
      <c r="Y446" s="745"/>
      <c r="Z446" s="745"/>
      <c r="AA446" s="745"/>
      <c r="AB446" s="391"/>
      <c r="AC446" s="401"/>
      <c r="AD446" s="400"/>
      <c r="AE446" s="400"/>
      <c r="AF446" s="400"/>
      <c r="AG446" s="281"/>
      <c r="AH446" s="405"/>
      <c r="AI446" s="405"/>
      <c r="AJ446" s="405"/>
      <c r="AK446" s="405"/>
      <c r="AL446" s="405"/>
      <c r="AM446" s="405"/>
      <c r="AN446" s="405"/>
      <c r="AO446" s="405"/>
      <c r="AP446" s="258"/>
      <c r="AQ446" s="258"/>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row>
    <row r="447" spans="1:78" x14ac:dyDescent="0.2">
      <c r="A447" s="448" t="str">
        <f>IF(Stammblatt!L4=1,'Kalkulation Herstellungskosten'!AP447,'Kalkulation Herstellungskosten'!AQ447)</f>
        <v>*) Lt. Anlage</v>
      </c>
      <c r="B447" s="286"/>
      <c r="C447" s="399"/>
      <c r="D447" s="391"/>
      <c r="E447" s="400"/>
      <c r="F447" s="400"/>
      <c r="G447" s="400"/>
      <c r="H447" s="431"/>
      <c r="I447" s="394"/>
      <c r="J447" s="431"/>
      <c r="K447" s="431"/>
      <c r="L447" s="431"/>
      <c r="M447" s="431"/>
      <c r="N447" s="400"/>
      <c r="O447" s="745"/>
      <c r="P447" s="745"/>
      <c r="Q447" s="745"/>
      <c r="R447" s="745"/>
      <c r="S447" s="751"/>
      <c r="T447" s="745"/>
      <c r="U447" s="745"/>
      <c r="V447" s="745"/>
      <c r="W447" s="745"/>
      <c r="X447" s="745"/>
      <c r="Y447" s="745"/>
      <c r="Z447" s="745"/>
      <c r="AA447" s="745"/>
      <c r="AB447" s="391"/>
      <c r="AC447" s="401"/>
      <c r="AD447" s="400"/>
      <c r="AE447" s="400"/>
      <c r="AF447" s="400"/>
      <c r="AG447" s="281"/>
      <c r="AH447" s="405"/>
      <c r="AI447" s="405"/>
      <c r="AJ447" s="405"/>
      <c r="AK447" s="405"/>
      <c r="AL447" s="405"/>
      <c r="AM447" s="405"/>
      <c r="AN447" s="405"/>
      <c r="AO447" s="405"/>
      <c r="AP447" s="258" t="s">
        <v>652</v>
      </c>
      <c r="AQ447" s="258" t="s">
        <v>434</v>
      </c>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row>
    <row r="448" spans="1:78" x14ac:dyDescent="0.2">
      <c r="A448" s="449"/>
      <c r="B448" s="286"/>
      <c r="C448" s="399"/>
      <c r="D448" s="391"/>
      <c r="E448" s="400"/>
      <c r="F448" s="400"/>
      <c r="G448" s="400"/>
      <c r="H448" s="431"/>
      <c r="I448" s="394"/>
      <c r="J448" s="431"/>
      <c r="K448" s="431"/>
      <c r="L448" s="431"/>
      <c r="M448" s="431"/>
      <c r="N448" s="400"/>
      <c r="O448" s="745"/>
      <c r="P448" s="745"/>
      <c r="Q448" s="745"/>
      <c r="R448" s="745"/>
      <c r="S448" s="745"/>
      <c r="T448" s="745"/>
      <c r="U448" s="745"/>
      <c r="V448" s="745"/>
      <c r="W448" s="745"/>
      <c r="X448" s="745"/>
      <c r="Y448" s="745"/>
      <c r="Z448" s="745"/>
      <c r="AA448" s="745"/>
      <c r="AB448" s="391"/>
      <c r="AC448" s="431"/>
      <c r="AD448" s="400"/>
      <c r="AE448" s="400"/>
      <c r="AF448" s="400"/>
      <c r="AG448" s="281"/>
      <c r="AH448" s="411"/>
      <c r="AI448" s="405"/>
      <c r="AJ448" s="405"/>
      <c r="AK448" s="405"/>
      <c r="AL448" s="405"/>
      <c r="AM448" s="405"/>
      <c r="AN448" s="405"/>
      <c r="AO448" s="405"/>
      <c r="AP448" s="258"/>
      <c r="AQ448" s="258"/>
      <c r="AR448" s="281"/>
      <c r="AS448" s="281"/>
      <c r="AT448" s="281"/>
      <c r="AU448" s="281"/>
      <c r="AV448" s="281"/>
      <c r="AW448" s="281"/>
      <c r="AX448" s="281"/>
      <c r="AY448" s="281"/>
      <c r="AZ448" s="281"/>
      <c r="BA448" s="281"/>
      <c r="BB448" s="281"/>
      <c r="BC448" s="281"/>
      <c r="BD448" s="281"/>
      <c r="BE448" s="281"/>
      <c r="BF448" s="281"/>
      <c r="BG448" s="281"/>
      <c r="BH448" s="281"/>
      <c r="BI448" s="281"/>
      <c r="BJ448" s="281"/>
      <c r="BK448" s="281"/>
      <c r="BL448" s="281"/>
      <c r="BM448" s="281"/>
      <c r="BN448" s="281"/>
      <c r="BO448" s="281"/>
      <c r="BP448" s="281"/>
      <c r="BQ448" s="281"/>
      <c r="BR448" s="281"/>
      <c r="BS448" s="281"/>
      <c r="BT448" s="281"/>
      <c r="BU448" s="281"/>
      <c r="BV448" s="281"/>
      <c r="BW448" s="281"/>
      <c r="BX448" s="281"/>
      <c r="BY448" s="281"/>
      <c r="BZ448" s="281"/>
    </row>
    <row r="449" spans="1:78" x14ac:dyDescent="0.2">
      <c r="A449" s="398"/>
      <c r="B449" s="286"/>
      <c r="C449" s="399"/>
      <c r="D449" s="391"/>
      <c r="E449" s="400"/>
      <c r="F449" s="400"/>
      <c r="G449" s="400"/>
      <c r="H449" s="431"/>
      <c r="I449" s="394"/>
      <c r="J449" s="431"/>
      <c r="K449" s="431"/>
      <c r="L449" s="431"/>
      <c r="M449" s="431"/>
      <c r="N449" s="400"/>
      <c r="O449" s="745"/>
      <c r="P449" s="745"/>
      <c r="Q449" s="745"/>
      <c r="R449" s="745"/>
      <c r="S449" s="745"/>
      <c r="T449" s="745"/>
      <c r="U449" s="745"/>
      <c r="V449" s="745"/>
      <c r="W449" s="745"/>
      <c r="X449" s="745"/>
      <c r="Y449" s="745"/>
      <c r="Z449" s="745"/>
      <c r="AA449" s="745"/>
      <c r="AB449" s="391"/>
      <c r="AC449" s="431"/>
      <c r="AD449" s="400"/>
      <c r="AE449" s="400"/>
      <c r="AF449" s="400"/>
      <c r="AG449" s="281"/>
      <c r="AH449" s="411"/>
      <c r="AI449" s="405"/>
      <c r="AJ449" s="405"/>
      <c r="AK449" s="405"/>
      <c r="AL449" s="405"/>
      <c r="AM449" s="405"/>
      <c r="AN449" s="405"/>
      <c r="AO449" s="405"/>
      <c r="AP449" s="258"/>
      <c r="AQ449" s="258"/>
      <c r="AR449" s="281"/>
      <c r="AS449" s="281"/>
      <c r="AT449" s="281"/>
      <c r="AU449" s="281"/>
      <c r="AV449" s="281"/>
      <c r="AW449" s="281"/>
      <c r="AX449" s="281"/>
      <c r="AY449" s="281"/>
      <c r="AZ449" s="281"/>
      <c r="BA449" s="281"/>
      <c r="BB449" s="281"/>
      <c r="BC449" s="281"/>
      <c r="BD449" s="281"/>
      <c r="BE449" s="281"/>
      <c r="BF449" s="281"/>
      <c r="BG449" s="281"/>
      <c r="BH449" s="281"/>
      <c r="BI449" s="281"/>
      <c r="BJ449" s="281"/>
      <c r="BK449" s="281"/>
      <c r="BL449" s="281"/>
      <c r="BM449" s="281"/>
      <c r="BN449" s="281"/>
      <c r="BO449" s="281"/>
      <c r="BP449" s="281"/>
      <c r="BQ449" s="281"/>
      <c r="BR449" s="281"/>
      <c r="BS449" s="281"/>
      <c r="BT449" s="281"/>
      <c r="BU449" s="281"/>
      <c r="BV449" s="281"/>
      <c r="BW449" s="281"/>
      <c r="BX449" s="281"/>
      <c r="BY449" s="281"/>
      <c r="BZ449" s="281"/>
    </row>
    <row r="450" spans="1:78" x14ac:dyDescent="0.2">
      <c r="A450" s="398"/>
      <c r="B450" s="286"/>
      <c r="C450" s="399"/>
      <c r="D450" s="391"/>
      <c r="E450" s="400"/>
      <c r="F450" s="400"/>
      <c r="G450" s="400"/>
      <c r="H450" s="431"/>
      <c r="I450" s="394"/>
      <c r="J450" s="431"/>
      <c r="K450" s="431"/>
      <c r="L450" s="431"/>
      <c r="M450" s="431"/>
      <c r="N450" s="400"/>
      <c r="O450" s="745"/>
      <c r="P450" s="745"/>
      <c r="Q450" s="745"/>
      <c r="R450" s="745"/>
      <c r="S450" s="745"/>
      <c r="T450" s="745"/>
      <c r="U450" s="745"/>
      <c r="V450" s="745"/>
      <c r="W450" s="745"/>
      <c r="X450" s="745"/>
      <c r="Y450" s="745"/>
      <c r="Z450" s="745"/>
      <c r="AA450" s="745"/>
      <c r="AB450" s="391"/>
      <c r="AC450" s="431"/>
      <c r="AD450" s="400"/>
      <c r="AE450" s="400"/>
      <c r="AF450" s="400"/>
      <c r="AG450" s="281"/>
      <c r="AH450" s="411"/>
      <c r="AI450" s="405"/>
      <c r="AJ450" s="405"/>
      <c r="AK450" s="405"/>
      <c r="AL450" s="405"/>
      <c r="AM450" s="405"/>
      <c r="AN450" s="405"/>
      <c r="AO450" s="405"/>
      <c r="AP450" s="258"/>
      <c r="AQ450" s="258"/>
      <c r="AR450" s="281"/>
      <c r="AS450" s="281"/>
      <c r="AT450" s="281"/>
      <c r="AU450" s="281"/>
      <c r="AV450" s="281"/>
      <c r="AW450" s="281"/>
      <c r="AX450" s="281"/>
      <c r="AY450" s="281"/>
      <c r="AZ450" s="281"/>
      <c r="BA450" s="281"/>
      <c r="BB450" s="281"/>
      <c r="BC450" s="281"/>
      <c r="BD450" s="281"/>
      <c r="BE450" s="281"/>
      <c r="BF450" s="281"/>
      <c r="BG450" s="281"/>
      <c r="BH450" s="281"/>
      <c r="BI450" s="281"/>
      <c r="BJ450" s="281"/>
      <c r="BK450" s="281"/>
      <c r="BL450" s="281"/>
      <c r="BM450" s="281"/>
      <c r="BN450" s="281"/>
      <c r="BO450" s="281"/>
      <c r="BP450" s="281"/>
      <c r="BQ450" s="281"/>
      <c r="BR450" s="281"/>
      <c r="BS450" s="281"/>
      <c r="BT450" s="281"/>
      <c r="BU450" s="281"/>
      <c r="BV450" s="281"/>
      <c r="BW450" s="281"/>
      <c r="BX450" s="281"/>
      <c r="BY450" s="281"/>
      <c r="BZ450" s="281"/>
    </row>
    <row r="451" spans="1:78" x14ac:dyDescent="0.2">
      <c r="A451" s="398"/>
      <c r="B451" s="286"/>
      <c r="C451" s="399"/>
      <c r="D451" s="391"/>
      <c r="E451" s="400"/>
      <c r="F451" s="400"/>
      <c r="G451" s="400"/>
      <c r="H451" s="431"/>
      <c r="I451" s="394"/>
      <c r="J451" s="431"/>
      <c r="K451" s="431"/>
      <c r="L451" s="431"/>
      <c r="M451" s="431"/>
      <c r="N451" s="400"/>
      <c r="O451" s="745"/>
      <c r="P451" s="745"/>
      <c r="Q451" s="745"/>
      <c r="R451" s="745"/>
      <c r="S451" s="745"/>
      <c r="T451" s="745"/>
      <c r="U451" s="745"/>
      <c r="V451" s="745"/>
      <c r="W451" s="745"/>
      <c r="X451" s="745"/>
      <c r="Y451" s="745"/>
      <c r="Z451" s="745"/>
      <c r="AA451" s="745"/>
      <c r="AB451" s="391"/>
      <c r="AC451" s="431"/>
      <c r="AD451" s="400"/>
      <c r="AE451" s="400"/>
      <c r="AF451" s="400"/>
      <c r="AG451" s="281"/>
      <c r="AH451" s="411"/>
      <c r="AI451" s="405"/>
      <c r="AJ451" s="405"/>
      <c r="AK451" s="405"/>
      <c r="AL451" s="405"/>
      <c r="AM451" s="405"/>
      <c r="AN451" s="405"/>
      <c r="AO451" s="405"/>
      <c r="AP451" s="258"/>
      <c r="AQ451" s="258"/>
      <c r="AR451" s="281"/>
      <c r="AS451" s="281"/>
      <c r="AT451" s="281"/>
      <c r="AU451" s="281"/>
      <c r="AV451" s="281"/>
      <c r="AW451" s="281"/>
      <c r="AX451" s="281"/>
      <c r="AY451" s="281"/>
      <c r="AZ451" s="281"/>
      <c r="BA451" s="281"/>
      <c r="BB451" s="281"/>
      <c r="BC451" s="281"/>
      <c r="BD451" s="281"/>
      <c r="BE451" s="281"/>
      <c r="BF451" s="281"/>
      <c r="BG451" s="281"/>
      <c r="BH451" s="281"/>
      <c r="BI451" s="281"/>
      <c r="BJ451" s="281"/>
      <c r="BK451" s="281"/>
      <c r="BL451" s="281"/>
      <c r="BM451" s="281"/>
      <c r="BN451" s="281"/>
      <c r="BO451" s="281"/>
      <c r="BP451" s="281"/>
      <c r="BQ451" s="281"/>
      <c r="BR451" s="281"/>
      <c r="BS451" s="281"/>
      <c r="BT451" s="281"/>
      <c r="BU451" s="281"/>
      <c r="BV451" s="281"/>
      <c r="BW451" s="281"/>
      <c r="BX451" s="281"/>
      <c r="BY451" s="281"/>
      <c r="BZ451" s="281"/>
    </row>
    <row r="452" spans="1:78" x14ac:dyDescent="0.2">
      <c r="A452" s="398"/>
      <c r="B452" s="286"/>
      <c r="C452" s="399"/>
      <c r="D452" s="391"/>
      <c r="E452" s="400"/>
      <c r="F452" s="400"/>
      <c r="G452" s="400"/>
      <c r="H452" s="431"/>
      <c r="I452" s="394"/>
      <c r="J452" s="431"/>
      <c r="K452" s="431"/>
      <c r="L452" s="431"/>
      <c r="M452" s="431"/>
      <c r="N452" s="400"/>
      <c r="O452" s="745"/>
      <c r="P452" s="745"/>
      <c r="Q452" s="745"/>
      <c r="R452" s="745"/>
      <c r="S452" s="745"/>
      <c r="T452" s="745"/>
      <c r="U452" s="745"/>
      <c r="V452" s="745"/>
      <c r="W452" s="745"/>
      <c r="X452" s="745"/>
      <c r="Y452" s="745"/>
      <c r="Z452" s="745"/>
      <c r="AA452" s="745"/>
      <c r="AB452" s="391"/>
      <c r="AC452" s="431"/>
      <c r="AD452" s="400"/>
      <c r="AE452" s="400"/>
      <c r="AF452" s="400"/>
      <c r="AG452" s="281"/>
      <c r="AH452" s="411"/>
      <c r="AI452" s="405"/>
      <c r="AJ452" s="405"/>
      <c r="AK452" s="405"/>
      <c r="AL452" s="405"/>
      <c r="AM452" s="405"/>
      <c r="AN452" s="405"/>
      <c r="AO452" s="405"/>
      <c r="AP452" s="258"/>
      <c r="AQ452" s="258"/>
      <c r="AR452" s="281"/>
      <c r="AS452" s="281"/>
      <c r="AT452" s="281"/>
      <c r="AU452" s="281"/>
      <c r="AV452" s="281"/>
      <c r="AW452" s="281"/>
      <c r="AX452" s="281"/>
      <c r="AY452" s="281"/>
      <c r="AZ452" s="281"/>
      <c r="BA452" s="281"/>
      <c r="BB452" s="281"/>
      <c r="BC452" s="281"/>
      <c r="BD452" s="281"/>
      <c r="BE452" s="281"/>
      <c r="BF452" s="281"/>
      <c r="BG452" s="281"/>
      <c r="BH452" s="281"/>
      <c r="BI452" s="281"/>
      <c r="BJ452" s="281"/>
      <c r="BK452" s="281"/>
      <c r="BL452" s="281"/>
      <c r="BM452" s="281"/>
      <c r="BN452" s="281"/>
      <c r="BO452" s="281"/>
      <c r="BP452" s="281"/>
      <c r="BQ452" s="281"/>
      <c r="BR452" s="281"/>
      <c r="BS452" s="281"/>
      <c r="BT452" s="281"/>
      <c r="BU452" s="281"/>
      <c r="BV452" s="281"/>
      <c r="BW452" s="281"/>
      <c r="BX452" s="281"/>
      <c r="BY452" s="281"/>
      <c r="BZ452" s="281"/>
    </row>
    <row r="453" spans="1:78" x14ac:dyDescent="0.2">
      <c r="A453" s="398"/>
      <c r="B453" s="286"/>
      <c r="C453" s="399"/>
      <c r="D453" s="391"/>
      <c r="E453" s="400"/>
      <c r="F453" s="400"/>
      <c r="G453" s="400"/>
      <c r="H453" s="431"/>
      <c r="I453" s="394"/>
      <c r="J453" s="431"/>
      <c r="K453" s="431"/>
      <c r="L453" s="431"/>
      <c r="M453" s="431"/>
      <c r="N453" s="400"/>
      <c r="O453" s="745"/>
      <c r="P453" s="745"/>
      <c r="Q453" s="745"/>
      <c r="R453" s="745"/>
      <c r="S453" s="745"/>
      <c r="T453" s="745"/>
      <c r="U453" s="745"/>
      <c r="V453" s="745"/>
      <c r="W453" s="745"/>
      <c r="X453" s="745"/>
      <c r="Y453" s="745"/>
      <c r="Z453" s="745"/>
      <c r="AA453" s="745"/>
      <c r="AB453" s="391"/>
      <c r="AC453" s="431"/>
      <c r="AD453" s="400"/>
      <c r="AE453" s="400"/>
      <c r="AF453" s="400"/>
      <c r="AG453" s="281"/>
      <c r="AH453" s="411"/>
      <c r="AI453" s="405"/>
      <c r="AJ453" s="405"/>
      <c r="AK453" s="405"/>
      <c r="AL453" s="405"/>
      <c r="AM453" s="405"/>
      <c r="AN453" s="405"/>
      <c r="AO453" s="405"/>
      <c r="AP453" s="258"/>
      <c r="AQ453" s="258"/>
      <c r="AR453" s="281"/>
      <c r="AS453" s="281"/>
      <c r="AT453" s="281"/>
      <c r="AU453" s="281"/>
      <c r="AV453" s="281"/>
      <c r="AW453" s="281"/>
      <c r="AX453" s="281"/>
      <c r="AY453" s="281"/>
      <c r="AZ453" s="281"/>
      <c r="BA453" s="281"/>
      <c r="BB453" s="281"/>
      <c r="BC453" s="281"/>
      <c r="BD453" s="281"/>
      <c r="BE453" s="281"/>
      <c r="BF453" s="281"/>
      <c r="BG453" s="281"/>
      <c r="BH453" s="281"/>
      <c r="BI453" s="281"/>
      <c r="BJ453" s="281"/>
      <c r="BK453" s="281"/>
      <c r="BL453" s="281"/>
      <c r="BM453" s="281"/>
      <c r="BN453" s="281"/>
      <c r="BO453" s="281"/>
      <c r="BP453" s="281"/>
      <c r="BQ453" s="281"/>
      <c r="BR453" s="281"/>
      <c r="BS453" s="281"/>
      <c r="BT453" s="281"/>
      <c r="BU453" s="281"/>
      <c r="BV453" s="281"/>
      <c r="BW453" s="281"/>
      <c r="BX453" s="281"/>
      <c r="BY453" s="281"/>
      <c r="BZ453" s="281"/>
    </row>
    <row r="454" spans="1:78" x14ac:dyDescent="0.2">
      <c r="A454" s="398"/>
      <c r="B454" s="286"/>
      <c r="C454" s="399"/>
      <c r="D454" s="391"/>
      <c r="E454" s="400"/>
      <c r="F454" s="400"/>
      <c r="G454" s="400"/>
      <c r="H454" s="431"/>
      <c r="I454" s="394"/>
      <c r="J454" s="431"/>
      <c r="K454" s="431"/>
      <c r="L454" s="431"/>
      <c r="M454" s="431"/>
      <c r="N454" s="400"/>
      <c r="O454" s="745"/>
      <c r="P454" s="745"/>
      <c r="Q454" s="745"/>
      <c r="R454" s="745"/>
      <c r="S454" s="745"/>
      <c r="T454" s="745"/>
      <c r="U454" s="745"/>
      <c r="V454" s="745"/>
      <c r="W454" s="745"/>
      <c r="X454" s="745"/>
      <c r="Y454" s="745"/>
      <c r="Z454" s="745"/>
      <c r="AA454" s="745"/>
      <c r="AB454" s="391"/>
      <c r="AC454" s="431"/>
      <c r="AD454" s="400"/>
      <c r="AE454" s="400"/>
      <c r="AF454" s="400"/>
      <c r="AG454" s="281"/>
      <c r="AH454" s="411"/>
      <c r="AI454" s="405"/>
      <c r="AJ454" s="405"/>
      <c r="AK454" s="405"/>
      <c r="AL454" s="405"/>
      <c r="AM454" s="405"/>
      <c r="AN454" s="405"/>
      <c r="AO454" s="405"/>
      <c r="AP454" s="258"/>
      <c r="AQ454" s="258"/>
      <c r="AR454" s="281"/>
      <c r="AS454" s="281"/>
      <c r="AT454" s="281"/>
      <c r="AU454" s="281"/>
      <c r="AV454" s="281"/>
      <c r="AW454" s="281"/>
      <c r="AX454" s="281"/>
      <c r="AY454" s="281"/>
      <c r="AZ454" s="281"/>
      <c r="BA454" s="281"/>
      <c r="BB454" s="281"/>
      <c r="BC454" s="281"/>
      <c r="BD454" s="281"/>
      <c r="BE454" s="281"/>
      <c r="BF454" s="281"/>
      <c r="BG454" s="281"/>
      <c r="BH454" s="281"/>
      <c r="BI454" s="281"/>
      <c r="BJ454" s="281"/>
      <c r="BK454" s="281"/>
      <c r="BL454" s="281"/>
      <c r="BM454" s="281"/>
      <c r="BN454" s="281"/>
      <c r="BO454" s="281"/>
      <c r="BP454" s="281"/>
      <c r="BQ454" s="281"/>
      <c r="BR454" s="281"/>
      <c r="BS454" s="281"/>
      <c r="BT454" s="281"/>
      <c r="BU454" s="281"/>
      <c r="BV454" s="281"/>
      <c r="BW454" s="281"/>
      <c r="BX454" s="281"/>
      <c r="BY454" s="281"/>
      <c r="BZ454" s="281"/>
    </row>
    <row r="455" spans="1:78" x14ac:dyDescent="0.2">
      <c r="A455" s="398"/>
      <c r="B455" s="286"/>
      <c r="C455" s="399"/>
      <c r="D455" s="391"/>
      <c r="E455" s="400"/>
      <c r="F455" s="400"/>
      <c r="G455" s="400"/>
      <c r="H455" s="431"/>
      <c r="I455" s="394"/>
      <c r="J455" s="431"/>
      <c r="K455" s="431"/>
      <c r="L455" s="431"/>
      <c r="M455" s="431"/>
      <c r="N455" s="400"/>
      <c r="O455" s="745"/>
      <c r="P455" s="745"/>
      <c r="Q455" s="745"/>
      <c r="R455" s="745"/>
      <c r="S455" s="745"/>
      <c r="T455" s="745"/>
      <c r="U455" s="745"/>
      <c r="V455" s="745"/>
      <c r="W455" s="745"/>
      <c r="X455" s="745"/>
      <c r="Y455" s="745"/>
      <c r="Z455" s="745"/>
      <c r="AA455" s="745"/>
      <c r="AB455" s="391"/>
      <c r="AC455" s="431"/>
      <c r="AD455" s="400"/>
      <c r="AE455" s="400"/>
      <c r="AF455" s="400"/>
      <c r="AG455" s="281"/>
      <c r="AH455" s="411"/>
      <c r="AI455" s="405"/>
      <c r="AJ455" s="405"/>
      <c r="AK455" s="405"/>
      <c r="AL455" s="405"/>
      <c r="AM455" s="405"/>
      <c r="AN455" s="405"/>
      <c r="AO455" s="405"/>
      <c r="AP455" s="258"/>
      <c r="AQ455" s="258"/>
      <c r="AR455" s="281"/>
      <c r="AS455" s="281"/>
      <c r="AT455" s="281"/>
      <c r="AU455" s="281"/>
      <c r="AV455" s="281"/>
      <c r="AW455" s="281"/>
      <c r="AX455" s="281"/>
      <c r="AY455" s="281"/>
      <c r="AZ455" s="281"/>
      <c r="BA455" s="281"/>
      <c r="BB455" s="281"/>
      <c r="BC455" s="281"/>
      <c r="BD455" s="281"/>
      <c r="BE455" s="281"/>
      <c r="BF455" s="281"/>
      <c r="BG455" s="281"/>
      <c r="BH455" s="281"/>
      <c r="BI455" s="281"/>
      <c r="BJ455" s="281"/>
      <c r="BK455" s="281"/>
      <c r="BL455" s="281"/>
      <c r="BM455" s="281"/>
      <c r="BN455" s="281"/>
      <c r="BO455" s="281"/>
      <c r="BP455" s="281"/>
      <c r="BQ455" s="281"/>
      <c r="BR455" s="281"/>
      <c r="BS455" s="281"/>
      <c r="BT455" s="281"/>
      <c r="BU455" s="281"/>
      <c r="BV455" s="281"/>
      <c r="BW455" s="281"/>
      <c r="BX455" s="281"/>
      <c r="BY455" s="281"/>
      <c r="BZ455" s="281"/>
    </row>
    <row r="456" spans="1:78" x14ac:dyDescent="0.2">
      <c r="A456" s="398"/>
      <c r="B456" s="286"/>
      <c r="C456" s="399"/>
      <c r="D456" s="391"/>
      <c r="E456" s="400"/>
      <c r="F456" s="400"/>
      <c r="G456" s="400"/>
      <c r="H456" s="431"/>
      <c r="I456" s="394"/>
      <c r="J456" s="431"/>
      <c r="K456" s="431"/>
      <c r="L456" s="431"/>
      <c r="M456" s="431"/>
      <c r="N456" s="400"/>
      <c r="O456" s="745"/>
      <c r="P456" s="745"/>
      <c r="Q456" s="745"/>
      <c r="R456" s="745"/>
      <c r="S456" s="745"/>
      <c r="T456" s="745"/>
      <c r="U456" s="745"/>
      <c r="V456" s="745"/>
      <c r="W456" s="745"/>
      <c r="X456" s="745"/>
      <c r="Y456" s="745"/>
      <c r="Z456" s="745"/>
      <c r="AA456" s="745"/>
      <c r="AB456" s="391"/>
      <c r="AC456" s="431"/>
      <c r="AD456" s="400"/>
      <c r="AE456" s="400"/>
      <c r="AF456" s="400"/>
      <c r="AG456" s="281"/>
      <c r="AH456" s="411"/>
      <c r="AI456" s="405"/>
      <c r="AJ456" s="405"/>
      <c r="AK456" s="405"/>
      <c r="AL456" s="405"/>
      <c r="AM456" s="405"/>
      <c r="AN456" s="405"/>
      <c r="AO456" s="405"/>
      <c r="AP456" s="258"/>
      <c r="AQ456" s="258"/>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c r="BM456" s="281"/>
      <c r="BN456" s="281"/>
      <c r="BO456" s="281"/>
      <c r="BP456" s="281"/>
      <c r="BQ456" s="281"/>
      <c r="BR456" s="281"/>
      <c r="BS456" s="281"/>
      <c r="BT456" s="281"/>
      <c r="BU456" s="281"/>
      <c r="BV456" s="281"/>
      <c r="BW456" s="281"/>
      <c r="BX456" s="281"/>
      <c r="BY456" s="281"/>
      <c r="BZ456" s="281"/>
    </row>
    <row r="457" spans="1:78" x14ac:dyDescent="0.2">
      <c r="A457" s="398"/>
      <c r="B457" s="286"/>
      <c r="C457" s="399"/>
      <c r="D457" s="391"/>
      <c r="E457" s="400"/>
      <c r="F457" s="400"/>
      <c r="G457" s="400"/>
      <c r="H457" s="431"/>
      <c r="I457" s="394"/>
      <c r="J457" s="431"/>
      <c r="K457" s="431"/>
      <c r="L457" s="431"/>
      <c r="M457" s="431"/>
      <c r="N457" s="400"/>
      <c r="O457" s="745"/>
      <c r="P457" s="745"/>
      <c r="Q457" s="745"/>
      <c r="R457" s="745"/>
      <c r="S457" s="745"/>
      <c r="T457" s="745"/>
      <c r="U457" s="745"/>
      <c r="V457" s="745"/>
      <c r="W457" s="745"/>
      <c r="X457" s="745"/>
      <c r="Y457" s="745"/>
      <c r="Z457" s="745"/>
      <c r="AA457" s="745"/>
      <c r="AB457" s="391"/>
      <c r="AC457" s="431"/>
      <c r="AD457" s="400"/>
      <c r="AE457" s="400"/>
      <c r="AF457" s="400"/>
      <c r="AG457" s="281"/>
      <c r="AH457" s="411"/>
      <c r="AI457" s="405"/>
      <c r="AJ457" s="405"/>
      <c r="AK457" s="405"/>
      <c r="AL457" s="405"/>
      <c r="AM457" s="405"/>
      <c r="AN457" s="405"/>
      <c r="AO457" s="405"/>
      <c r="AP457" s="258"/>
      <c r="AQ457" s="258"/>
      <c r="AR457" s="281"/>
      <c r="AS457" s="281"/>
      <c r="AT457" s="281"/>
      <c r="AU457" s="281"/>
      <c r="AV457" s="281"/>
      <c r="AW457" s="281"/>
      <c r="AX457" s="281"/>
      <c r="AY457" s="281"/>
      <c r="AZ457" s="281"/>
      <c r="BA457" s="281"/>
      <c r="BB457" s="281"/>
      <c r="BC457" s="281"/>
      <c r="BD457" s="281"/>
      <c r="BE457" s="281"/>
      <c r="BF457" s="281"/>
      <c r="BG457" s="281"/>
      <c r="BH457" s="281"/>
      <c r="BI457" s="281"/>
      <c r="BJ457" s="281"/>
      <c r="BK457" s="281"/>
      <c r="BL457" s="281"/>
      <c r="BM457" s="281"/>
      <c r="BN457" s="281"/>
      <c r="BO457" s="281"/>
      <c r="BP457" s="281"/>
      <c r="BQ457" s="281"/>
      <c r="BR457" s="281"/>
      <c r="BS457" s="281"/>
      <c r="BT457" s="281"/>
      <c r="BU457" s="281"/>
      <c r="BV457" s="281"/>
      <c r="BW457" s="281"/>
      <c r="BX457" s="281"/>
      <c r="BY457" s="281"/>
      <c r="BZ457" s="281"/>
    </row>
    <row r="458" spans="1:78" x14ac:dyDescent="0.2">
      <c r="A458" s="398"/>
      <c r="B458" s="286"/>
      <c r="C458" s="399"/>
      <c r="D458" s="391"/>
      <c r="E458" s="400"/>
      <c r="F458" s="400"/>
      <c r="G458" s="400"/>
      <c r="H458" s="431"/>
      <c r="I458" s="394"/>
      <c r="J458" s="431"/>
      <c r="K458" s="431"/>
      <c r="L458" s="431"/>
      <c r="M458" s="431"/>
      <c r="N458" s="400"/>
      <c r="O458" s="745"/>
      <c r="P458" s="745"/>
      <c r="Q458" s="745"/>
      <c r="R458" s="745"/>
      <c r="S458" s="745"/>
      <c r="T458" s="745"/>
      <c r="U458" s="745"/>
      <c r="V458" s="745"/>
      <c r="W458" s="745"/>
      <c r="X458" s="745"/>
      <c r="Y458" s="745"/>
      <c r="Z458" s="745"/>
      <c r="AA458" s="745"/>
      <c r="AB458" s="391"/>
      <c r="AC458" s="431"/>
      <c r="AD458" s="400"/>
      <c r="AE458" s="400"/>
      <c r="AF458" s="400"/>
      <c r="AG458" s="281"/>
      <c r="AH458" s="411"/>
      <c r="AI458" s="405"/>
      <c r="AJ458" s="405"/>
      <c r="AK458" s="405"/>
      <c r="AL458" s="405"/>
      <c r="AM458" s="405"/>
      <c r="AN458" s="405"/>
      <c r="AO458" s="405"/>
      <c r="AP458" s="258"/>
      <c r="AQ458" s="258"/>
      <c r="AR458" s="281"/>
      <c r="AS458" s="281"/>
      <c r="AT458" s="281"/>
      <c r="AU458" s="281"/>
      <c r="AV458" s="281"/>
      <c r="AW458" s="281"/>
      <c r="AX458" s="281"/>
      <c r="AY458" s="281"/>
      <c r="AZ458" s="281"/>
      <c r="BA458" s="281"/>
      <c r="BB458" s="281"/>
      <c r="BC458" s="281"/>
      <c r="BD458" s="281"/>
      <c r="BE458" s="281"/>
      <c r="BF458" s="281"/>
      <c r="BG458" s="281"/>
      <c r="BH458" s="281"/>
      <c r="BI458" s="281"/>
      <c r="BJ458" s="281"/>
      <c r="BK458" s="281"/>
      <c r="BL458" s="281"/>
      <c r="BM458" s="281"/>
      <c r="BN458" s="281"/>
      <c r="BO458" s="281"/>
      <c r="BP458" s="281"/>
      <c r="BQ458" s="281"/>
      <c r="BR458" s="281"/>
      <c r="BS458" s="281"/>
      <c r="BT458" s="281"/>
      <c r="BU458" s="281"/>
      <c r="BV458" s="281"/>
      <c r="BW458" s="281"/>
      <c r="BX458" s="281"/>
      <c r="BY458" s="281"/>
      <c r="BZ458" s="281"/>
    </row>
    <row r="459" spans="1:78" x14ac:dyDescent="0.2">
      <c r="A459" s="398"/>
      <c r="B459" s="286"/>
      <c r="C459" s="399"/>
      <c r="D459" s="391"/>
      <c r="E459" s="400"/>
      <c r="F459" s="400"/>
      <c r="G459" s="400"/>
      <c r="H459" s="431"/>
      <c r="I459" s="394"/>
      <c r="J459" s="431"/>
      <c r="K459" s="431"/>
      <c r="L459" s="431"/>
      <c r="M459" s="431"/>
      <c r="N459" s="400"/>
      <c r="O459" s="745"/>
      <c r="P459" s="745"/>
      <c r="Q459" s="745"/>
      <c r="R459" s="745"/>
      <c r="S459" s="745"/>
      <c r="T459" s="745"/>
      <c r="U459" s="745"/>
      <c r="V459" s="745"/>
      <c r="W459" s="745"/>
      <c r="X459" s="745"/>
      <c r="Y459" s="745"/>
      <c r="Z459" s="745"/>
      <c r="AA459" s="745"/>
      <c r="AB459" s="391"/>
      <c r="AC459" s="431"/>
      <c r="AD459" s="400"/>
      <c r="AE459" s="400"/>
      <c r="AF459" s="400"/>
      <c r="AG459" s="281"/>
      <c r="AH459" s="411"/>
      <c r="AI459" s="405"/>
      <c r="AJ459" s="405"/>
      <c r="AK459" s="405"/>
      <c r="AL459" s="405"/>
      <c r="AM459" s="405"/>
      <c r="AN459" s="405"/>
      <c r="AO459" s="405"/>
      <c r="AP459" s="258"/>
      <c r="AQ459" s="258"/>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c r="BM459" s="281"/>
      <c r="BN459" s="281"/>
      <c r="BO459" s="281"/>
      <c r="BP459" s="281"/>
      <c r="BQ459" s="281"/>
      <c r="BR459" s="281"/>
      <c r="BS459" s="281"/>
      <c r="BT459" s="281"/>
      <c r="BU459" s="281"/>
      <c r="BV459" s="281"/>
      <c r="BW459" s="281"/>
      <c r="BX459" s="281"/>
      <c r="BY459" s="281"/>
      <c r="BZ459" s="281"/>
    </row>
    <row r="460" spans="1:78" x14ac:dyDescent="0.2">
      <c r="A460" s="398"/>
      <c r="B460" s="286"/>
      <c r="C460" s="399"/>
      <c r="D460" s="391"/>
      <c r="E460" s="400"/>
      <c r="F460" s="400"/>
      <c r="G460" s="400"/>
      <c r="H460" s="431"/>
      <c r="I460" s="394"/>
      <c r="J460" s="431"/>
      <c r="K460" s="431"/>
      <c r="L460" s="431"/>
      <c r="M460" s="431"/>
      <c r="N460" s="400"/>
      <c r="O460" s="745"/>
      <c r="P460" s="745"/>
      <c r="Q460" s="745"/>
      <c r="R460" s="745"/>
      <c r="S460" s="745"/>
      <c r="T460" s="745"/>
      <c r="U460" s="745"/>
      <c r="V460" s="745"/>
      <c r="W460" s="745"/>
      <c r="X460" s="745"/>
      <c r="Y460" s="745"/>
      <c r="Z460" s="745"/>
      <c r="AA460" s="745"/>
      <c r="AB460" s="391"/>
      <c r="AC460" s="431"/>
      <c r="AD460" s="400"/>
      <c r="AE460" s="400"/>
      <c r="AF460" s="400"/>
      <c r="AG460" s="281"/>
      <c r="AH460" s="411"/>
      <c r="AI460" s="405"/>
      <c r="AJ460" s="405"/>
      <c r="AK460" s="405"/>
      <c r="AL460" s="405"/>
      <c r="AM460" s="405"/>
      <c r="AN460" s="405"/>
      <c r="AO460" s="405"/>
      <c r="AP460" s="258"/>
      <c r="AQ460" s="258"/>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1"/>
      <c r="BZ460" s="281"/>
    </row>
    <row r="461" spans="1:78" x14ac:dyDescent="0.2">
      <c r="A461" s="398"/>
      <c r="B461" s="286"/>
      <c r="C461" s="399"/>
      <c r="D461" s="391"/>
      <c r="E461" s="400"/>
      <c r="F461" s="400"/>
      <c r="G461" s="400"/>
      <c r="H461" s="431"/>
      <c r="I461" s="394"/>
      <c r="J461" s="431"/>
      <c r="K461" s="431"/>
      <c r="L461" s="431"/>
      <c r="M461" s="431"/>
      <c r="N461" s="400"/>
      <c r="O461" s="745"/>
      <c r="P461" s="745"/>
      <c r="Q461" s="745"/>
      <c r="R461" s="745"/>
      <c r="S461" s="745"/>
      <c r="T461" s="745"/>
      <c r="U461" s="745"/>
      <c r="V461" s="745"/>
      <c r="W461" s="745"/>
      <c r="X461" s="745"/>
      <c r="Y461" s="745"/>
      <c r="Z461" s="745"/>
      <c r="AA461" s="745"/>
      <c r="AB461" s="391"/>
      <c r="AC461" s="431"/>
      <c r="AD461" s="400"/>
      <c r="AE461" s="400"/>
      <c r="AF461" s="400"/>
      <c r="AG461" s="281"/>
      <c r="AH461" s="411"/>
      <c r="AI461" s="405"/>
      <c r="AJ461" s="405"/>
      <c r="AK461" s="405"/>
      <c r="AL461" s="405"/>
      <c r="AM461" s="405"/>
      <c r="AN461" s="405"/>
      <c r="AO461" s="405"/>
      <c r="AP461" s="258"/>
      <c r="AQ461" s="258"/>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c r="BM461" s="281"/>
      <c r="BN461" s="281"/>
      <c r="BO461" s="281"/>
      <c r="BP461" s="281"/>
      <c r="BQ461" s="281"/>
      <c r="BR461" s="281"/>
      <c r="BS461" s="281"/>
      <c r="BT461" s="281"/>
      <c r="BU461" s="281"/>
      <c r="BV461" s="281"/>
      <c r="BW461" s="281"/>
      <c r="BX461" s="281"/>
      <c r="BY461" s="281"/>
      <c r="BZ461" s="281"/>
    </row>
    <row r="462" spans="1:78" x14ac:dyDescent="0.2">
      <c r="A462" s="398"/>
      <c r="B462" s="286"/>
      <c r="C462" s="399"/>
      <c r="D462" s="391"/>
      <c r="E462" s="400"/>
      <c r="F462" s="400"/>
      <c r="G462" s="400"/>
      <c r="H462" s="431"/>
      <c r="I462" s="394"/>
      <c r="J462" s="431"/>
      <c r="K462" s="431"/>
      <c r="L462" s="431"/>
      <c r="M462" s="431"/>
      <c r="N462" s="400"/>
      <c r="O462" s="745"/>
      <c r="P462" s="745"/>
      <c r="Q462" s="745"/>
      <c r="R462" s="745"/>
      <c r="S462" s="745"/>
      <c r="T462" s="745"/>
      <c r="U462" s="745"/>
      <c r="V462" s="745"/>
      <c r="W462" s="745"/>
      <c r="X462" s="745"/>
      <c r="Y462" s="745"/>
      <c r="Z462" s="745"/>
      <c r="AA462" s="745"/>
      <c r="AB462" s="391"/>
      <c r="AC462" s="431"/>
      <c r="AD462" s="400"/>
      <c r="AE462" s="400"/>
      <c r="AF462" s="400"/>
      <c r="AG462" s="281"/>
      <c r="AH462" s="411"/>
      <c r="AI462" s="405"/>
      <c r="AJ462" s="405"/>
      <c r="AK462" s="405"/>
      <c r="AL462" s="405"/>
      <c r="AM462" s="405"/>
      <c r="AN462" s="405"/>
      <c r="AO462" s="405"/>
      <c r="AP462" s="258"/>
      <c r="AQ462" s="258"/>
      <c r="AR462" s="281"/>
      <c r="AS462" s="281"/>
      <c r="AT462" s="281"/>
      <c r="AU462" s="281"/>
      <c r="AV462" s="281"/>
      <c r="AW462" s="281"/>
      <c r="AX462" s="281"/>
      <c r="AY462" s="281"/>
      <c r="AZ462" s="281"/>
      <c r="BA462" s="281"/>
      <c r="BB462" s="281"/>
      <c r="BC462" s="281"/>
      <c r="BD462" s="281"/>
      <c r="BE462" s="281"/>
      <c r="BF462" s="281"/>
      <c r="BG462" s="281"/>
      <c r="BH462" s="281"/>
      <c r="BI462" s="281"/>
      <c r="BJ462" s="281"/>
      <c r="BK462" s="281"/>
      <c r="BL462" s="281"/>
      <c r="BM462" s="281"/>
      <c r="BN462" s="281"/>
      <c r="BO462" s="281"/>
      <c r="BP462" s="281"/>
      <c r="BQ462" s="281"/>
      <c r="BR462" s="281"/>
      <c r="BS462" s="281"/>
      <c r="BT462" s="281"/>
      <c r="BU462" s="281"/>
      <c r="BV462" s="281"/>
      <c r="BW462" s="281"/>
      <c r="BX462" s="281"/>
      <c r="BY462" s="281"/>
      <c r="BZ462" s="281"/>
    </row>
    <row r="463" spans="1:78" x14ac:dyDescent="0.2">
      <c r="A463" s="398"/>
      <c r="B463" s="286"/>
      <c r="C463" s="399"/>
      <c r="D463" s="391"/>
      <c r="E463" s="400"/>
      <c r="F463" s="400"/>
      <c r="G463" s="400"/>
      <c r="H463" s="431"/>
      <c r="I463" s="394"/>
      <c r="J463" s="431"/>
      <c r="K463" s="431"/>
      <c r="L463" s="431"/>
      <c r="M463" s="431"/>
      <c r="N463" s="400"/>
      <c r="O463" s="745"/>
      <c r="P463" s="745"/>
      <c r="Q463" s="745"/>
      <c r="R463" s="745"/>
      <c r="S463" s="745"/>
      <c r="T463" s="745"/>
      <c r="U463" s="745"/>
      <c r="V463" s="745"/>
      <c r="W463" s="745"/>
      <c r="X463" s="745"/>
      <c r="Y463" s="745"/>
      <c r="Z463" s="745"/>
      <c r="AA463" s="745"/>
      <c r="AB463" s="391"/>
      <c r="AC463" s="431"/>
      <c r="AD463" s="400"/>
      <c r="AE463" s="400"/>
      <c r="AF463" s="400"/>
      <c r="AG463" s="281"/>
      <c r="AH463" s="411"/>
      <c r="AI463" s="405"/>
      <c r="AJ463" s="405"/>
      <c r="AK463" s="405"/>
      <c r="AL463" s="405"/>
      <c r="AM463" s="405"/>
      <c r="AN463" s="405"/>
      <c r="AO463" s="405"/>
      <c r="AP463" s="258"/>
      <c r="AQ463" s="258"/>
      <c r="AR463" s="281"/>
      <c r="AS463" s="281"/>
      <c r="AT463" s="281"/>
      <c r="AU463" s="281"/>
      <c r="AV463" s="281"/>
      <c r="AW463" s="281"/>
      <c r="AX463" s="281"/>
      <c r="AY463" s="281"/>
      <c r="AZ463" s="281"/>
      <c r="BA463" s="281"/>
      <c r="BB463" s="281"/>
      <c r="BC463" s="281"/>
      <c r="BD463" s="281"/>
      <c r="BE463" s="281"/>
      <c r="BF463" s="281"/>
      <c r="BG463" s="281"/>
      <c r="BH463" s="281"/>
      <c r="BI463" s="281"/>
      <c r="BJ463" s="281"/>
      <c r="BK463" s="281"/>
      <c r="BL463" s="281"/>
      <c r="BM463" s="281"/>
      <c r="BN463" s="281"/>
      <c r="BO463" s="281"/>
      <c r="BP463" s="281"/>
      <c r="BQ463" s="281"/>
      <c r="BR463" s="281"/>
      <c r="BS463" s="281"/>
      <c r="BT463" s="281"/>
      <c r="BU463" s="281"/>
      <c r="BV463" s="281"/>
      <c r="BW463" s="281"/>
      <c r="BX463" s="281"/>
      <c r="BY463" s="281"/>
      <c r="BZ463" s="281"/>
    </row>
    <row r="464" spans="1:78" x14ac:dyDescent="0.2">
      <c r="A464" s="398"/>
      <c r="B464" s="286"/>
      <c r="C464" s="399"/>
      <c r="D464" s="391"/>
      <c r="E464" s="400"/>
      <c r="F464" s="400"/>
      <c r="G464" s="400"/>
      <c r="H464" s="431"/>
      <c r="I464" s="394"/>
      <c r="J464" s="431"/>
      <c r="K464" s="431"/>
      <c r="L464" s="431"/>
      <c r="M464" s="431"/>
      <c r="N464" s="400"/>
      <c r="O464" s="745"/>
      <c r="P464" s="745"/>
      <c r="Q464" s="745"/>
      <c r="R464" s="745"/>
      <c r="S464" s="745"/>
      <c r="T464" s="745"/>
      <c r="U464" s="745"/>
      <c r="V464" s="745"/>
      <c r="W464" s="745"/>
      <c r="X464" s="745"/>
      <c r="Y464" s="745"/>
      <c r="Z464" s="745"/>
      <c r="AA464" s="745"/>
      <c r="AB464" s="391"/>
      <c r="AC464" s="431"/>
      <c r="AD464" s="400"/>
      <c r="AE464" s="400"/>
      <c r="AF464" s="400"/>
      <c r="AG464" s="281"/>
      <c r="AH464" s="411"/>
      <c r="AI464" s="405"/>
      <c r="AJ464" s="405"/>
      <c r="AK464" s="405"/>
      <c r="AL464" s="405"/>
      <c r="AM464" s="405"/>
      <c r="AN464" s="405"/>
      <c r="AO464" s="405"/>
      <c r="AP464" s="258"/>
      <c r="AQ464" s="258"/>
      <c r="AR464" s="281"/>
      <c r="AS464" s="281"/>
      <c r="AT464" s="281"/>
      <c r="AU464" s="281"/>
      <c r="AV464" s="281"/>
      <c r="AW464" s="281"/>
      <c r="AX464" s="281"/>
      <c r="AY464" s="281"/>
      <c r="AZ464" s="281"/>
      <c r="BA464" s="281"/>
      <c r="BB464" s="281"/>
      <c r="BC464" s="281"/>
      <c r="BD464" s="281"/>
      <c r="BE464" s="281"/>
      <c r="BF464" s="281"/>
      <c r="BG464" s="281"/>
      <c r="BH464" s="281"/>
      <c r="BI464" s="281"/>
      <c r="BJ464" s="281"/>
      <c r="BK464" s="281"/>
      <c r="BL464" s="281"/>
      <c r="BM464" s="281"/>
      <c r="BN464" s="281"/>
      <c r="BO464" s="281"/>
      <c r="BP464" s="281"/>
      <c r="BQ464" s="281"/>
      <c r="BR464" s="281"/>
      <c r="BS464" s="281"/>
      <c r="BT464" s="281"/>
      <c r="BU464" s="281"/>
      <c r="BV464" s="281"/>
      <c r="BW464" s="281"/>
      <c r="BX464" s="281"/>
      <c r="BY464" s="281"/>
      <c r="BZ464" s="281"/>
    </row>
    <row r="465" spans="1:78" x14ac:dyDescent="0.2">
      <c r="A465" s="398"/>
      <c r="B465" s="286"/>
      <c r="C465" s="399"/>
      <c r="D465" s="391"/>
      <c r="E465" s="400"/>
      <c r="F465" s="400"/>
      <c r="G465" s="400"/>
      <c r="H465" s="431"/>
      <c r="I465" s="394"/>
      <c r="J465" s="431"/>
      <c r="K465" s="431"/>
      <c r="L465" s="431"/>
      <c r="M465" s="431"/>
      <c r="N465" s="400"/>
      <c r="O465" s="745"/>
      <c r="P465" s="745"/>
      <c r="Q465" s="745"/>
      <c r="R465" s="745"/>
      <c r="S465" s="745"/>
      <c r="T465" s="745"/>
      <c r="U465" s="745"/>
      <c r="V465" s="745"/>
      <c r="W465" s="745"/>
      <c r="X465" s="745"/>
      <c r="Y465" s="745"/>
      <c r="Z465" s="745"/>
      <c r="AA465" s="745"/>
      <c r="AB465" s="391"/>
      <c r="AC465" s="431"/>
      <c r="AD465" s="400"/>
      <c r="AE465" s="400"/>
      <c r="AF465" s="400"/>
      <c r="AG465" s="281"/>
      <c r="AH465" s="411"/>
      <c r="AI465" s="405"/>
      <c r="AJ465" s="405"/>
      <c r="AK465" s="405"/>
      <c r="AL465" s="405"/>
      <c r="AM465" s="405"/>
      <c r="AN465" s="405"/>
      <c r="AO465" s="405"/>
      <c r="AP465" s="258"/>
      <c r="AQ465" s="258"/>
      <c r="AR465" s="281"/>
      <c r="AS465" s="281"/>
      <c r="AT465" s="281"/>
      <c r="AU465" s="281"/>
      <c r="AV465" s="281"/>
      <c r="AW465" s="281"/>
      <c r="AX465" s="281"/>
      <c r="AY465" s="281"/>
      <c r="AZ465" s="281"/>
      <c r="BA465" s="281"/>
      <c r="BB465" s="281"/>
      <c r="BC465" s="281"/>
      <c r="BD465" s="281"/>
      <c r="BE465" s="281"/>
      <c r="BF465" s="281"/>
      <c r="BG465" s="281"/>
      <c r="BH465" s="281"/>
      <c r="BI465" s="281"/>
      <c r="BJ465" s="281"/>
      <c r="BK465" s="281"/>
      <c r="BL465" s="281"/>
      <c r="BM465" s="281"/>
      <c r="BN465" s="281"/>
      <c r="BO465" s="281"/>
      <c r="BP465" s="281"/>
      <c r="BQ465" s="281"/>
      <c r="BR465" s="281"/>
      <c r="BS465" s="281"/>
      <c r="BT465" s="281"/>
      <c r="BU465" s="281"/>
      <c r="BV465" s="281"/>
      <c r="BW465" s="281"/>
      <c r="BX465" s="281"/>
      <c r="BY465" s="281"/>
      <c r="BZ465" s="281"/>
    </row>
    <row r="466" spans="1:78" x14ac:dyDescent="0.2">
      <c r="A466" s="398"/>
      <c r="B466" s="286"/>
      <c r="C466" s="399"/>
      <c r="D466" s="391"/>
      <c r="E466" s="400"/>
      <c r="F466" s="400"/>
      <c r="G466" s="400"/>
      <c r="H466" s="431"/>
      <c r="I466" s="394"/>
      <c r="J466" s="431"/>
      <c r="K466" s="431"/>
      <c r="L466" s="431"/>
      <c r="M466" s="431"/>
      <c r="N466" s="400"/>
      <c r="O466" s="745"/>
      <c r="P466" s="745"/>
      <c r="Q466" s="745"/>
      <c r="R466" s="745"/>
      <c r="S466" s="745"/>
      <c r="T466" s="745"/>
      <c r="U466" s="745"/>
      <c r="V466" s="745"/>
      <c r="W466" s="745"/>
      <c r="X466" s="745"/>
      <c r="Y466" s="745"/>
      <c r="Z466" s="745"/>
      <c r="AA466" s="745"/>
      <c r="AB466" s="391"/>
      <c r="AC466" s="431"/>
      <c r="AD466" s="400"/>
      <c r="AE466" s="400"/>
      <c r="AF466" s="400"/>
      <c r="AG466" s="281"/>
      <c r="AH466" s="411"/>
      <c r="AI466" s="405"/>
      <c r="AJ466" s="405"/>
      <c r="AK466" s="405"/>
      <c r="AL466" s="405"/>
      <c r="AM466" s="405"/>
      <c r="AN466" s="405"/>
      <c r="AO466" s="405"/>
      <c r="AP466" s="258"/>
      <c r="AQ466" s="258"/>
      <c r="AR466" s="281"/>
      <c r="AS466" s="281"/>
      <c r="AT466" s="281"/>
      <c r="AU466" s="281"/>
      <c r="AV466" s="281"/>
      <c r="AW466" s="281"/>
      <c r="AX466" s="281"/>
      <c r="AY466" s="281"/>
      <c r="AZ466" s="281"/>
      <c r="BA466" s="281"/>
      <c r="BB466" s="281"/>
      <c r="BC466" s="281"/>
      <c r="BD466" s="281"/>
      <c r="BE466" s="281"/>
      <c r="BF466" s="281"/>
      <c r="BG466" s="281"/>
      <c r="BH466" s="281"/>
      <c r="BI466" s="281"/>
      <c r="BJ466" s="281"/>
      <c r="BK466" s="281"/>
      <c r="BL466" s="281"/>
      <c r="BM466" s="281"/>
      <c r="BN466" s="281"/>
      <c r="BO466" s="281"/>
      <c r="BP466" s="281"/>
      <c r="BQ466" s="281"/>
      <c r="BR466" s="281"/>
      <c r="BS466" s="281"/>
      <c r="BT466" s="281"/>
      <c r="BU466" s="281"/>
      <c r="BV466" s="281"/>
      <c r="BW466" s="281"/>
      <c r="BX466" s="281"/>
      <c r="BY466" s="281"/>
      <c r="BZ466" s="281"/>
    </row>
    <row r="467" spans="1:78" x14ac:dyDescent="0.2">
      <c r="A467" s="398"/>
      <c r="B467" s="286"/>
      <c r="C467" s="399"/>
      <c r="D467" s="391"/>
      <c r="E467" s="400"/>
      <c r="F467" s="400"/>
      <c r="G467" s="400"/>
      <c r="H467" s="431"/>
      <c r="I467" s="394"/>
      <c r="J467" s="431"/>
      <c r="K467" s="431"/>
      <c r="L467" s="431"/>
      <c r="M467" s="431"/>
      <c r="N467" s="400"/>
      <c r="O467" s="745"/>
      <c r="P467" s="745"/>
      <c r="Q467" s="745"/>
      <c r="R467" s="745"/>
      <c r="S467" s="745"/>
      <c r="T467" s="745"/>
      <c r="U467" s="745"/>
      <c r="V467" s="745"/>
      <c r="W467" s="745"/>
      <c r="X467" s="745"/>
      <c r="Y467" s="745"/>
      <c r="Z467" s="745"/>
      <c r="AA467" s="745"/>
      <c r="AB467" s="391"/>
      <c r="AC467" s="431"/>
      <c r="AD467" s="400"/>
      <c r="AE467" s="400"/>
      <c r="AF467" s="400"/>
      <c r="AG467" s="281"/>
      <c r="AH467" s="411"/>
      <c r="AI467" s="405"/>
      <c r="AJ467" s="405"/>
      <c r="AK467" s="405"/>
      <c r="AL467" s="405"/>
      <c r="AM467" s="405"/>
      <c r="AN467" s="405"/>
      <c r="AO467" s="405"/>
      <c r="AP467" s="258"/>
      <c r="AQ467" s="258"/>
      <c r="AR467" s="281"/>
      <c r="AS467" s="281"/>
      <c r="AT467" s="281"/>
      <c r="AU467" s="281"/>
      <c r="AV467" s="281"/>
      <c r="AW467" s="281"/>
      <c r="AX467" s="281"/>
      <c r="AY467" s="281"/>
      <c r="AZ467" s="281"/>
      <c r="BA467" s="281"/>
      <c r="BB467" s="281"/>
      <c r="BC467" s="281"/>
      <c r="BD467" s="281"/>
      <c r="BE467" s="281"/>
      <c r="BF467" s="281"/>
      <c r="BG467" s="281"/>
      <c r="BH467" s="281"/>
      <c r="BI467" s="281"/>
      <c r="BJ467" s="281"/>
      <c r="BK467" s="281"/>
      <c r="BL467" s="281"/>
      <c r="BM467" s="281"/>
      <c r="BN467" s="281"/>
      <c r="BO467" s="281"/>
      <c r="BP467" s="281"/>
      <c r="BQ467" s="281"/>
      <c r="BR467" s="281"/>
      <c r="BS467" s="281"/>
      <c r="BT467" s="281"/>
      <c r="BU467" s="281"/>
      <c r="BV467" s="281"/>
      <c r="BW467" s="281"/>
      <c r="BX467" s="281"/>
      <c r="BY467" s="281"/>
      <c r="BZ467" s="281"/>
    </row>
    <row r="468" spans="1:78" x14ac:dyDescent="0.2">
      <c r="A468" s="398"/>
      <c r="B468" s="286"/>
      <c r="C468" s="399"/>
      <c r="D468" s="391"/>
      <c r="E468" s="400"/>
      <c r="F468" s="400"/>
      <c r="G468" s="400"/>
      <c r="H468" s="431"/>
      <c r="I468" s="394"/>
      <c r="J468" s="431"/>
      <c r="K468" s="431"/>
      <c r="L468" s="431"/>
      <c r="M468" s="431"/>
      <c r="N468" s="400"/>
      <c r="O468" s="745"/>
      <c r="P468" s="745"/>
      <c r="Q468" s="745"/>
      <c r="R468" s="745"/>
      <c r="S468" s="745"/>
      <c r="T468" s="745"/>
      <c r="U468" s="745"/>
      <c r="V468" s="745"/>
      <c r="W468" s="745"/>
      <c r="X468" s="745"/>
      <c r="Y468" s="745"/>
      <c r="Z468" s="745"/>
      <c r="AA468" s="745"/>
      <c r="AB468" s="391"/>
      <c r="AC468" s="431"/>
      <c r="AD468" s="400"/>
      <c r="AE468" s="400"/>
      <c r="AF468" s="400"/>
      <c r="AG468" s="281"/>
      <c r="AH468" s="411"/>
      <c r="AI468" s="405"/>
      <c r="AJ468" s="405"/>
      <c r="AK468" s="405"/>
      <c r="AL468" s="405"/>
      <c r="AM468" s="405"/>
      <c r="AN468" s="405"/>
      <c r="AO468" s="405"/>
      <c r="AP468" s="258"/>
      <c r="AQ468" s="258"/>
      <c r="AR468" s="281"/>
      <c r="AS468" s="281"/>
      <c r="AT468" s="281"/>
      <c r="AU468" s="281"/>
      <c r="AV468" s="281"/>
      <c r="AW468" s="281"/>
      <c r="AX468" s="281"/>
      <c r="AY468" s="281"/>
      <c r="AZ468" s="281"/>
      <c r="BA468" s="281"/>
      <c r="BB468" s="281"/>
      <c r="BC468" s="281"/>
      <c r="BD468" s="281"/>
      <c r="BE468" s="281"/>
      <c r="BF468" s="281"/>
      <c r="BG468" s="281"/>
      <c r="BH468" s="281"/>
      <c r="BI468" s="281"/>
      <c r="BJ468" s="281"/>
      <c r="BK468" s="281"/>
      <c r="BL468" s="281"/>
      <c r="BM468" s="281"/>
      <c r="BN468" s="281"/>
      <c r="BO468" s="281"/>
      <c r="BP468" s="281"/>
      <c r="BQ468" s="281"/>
      <c r="BR468" s="281"/>
      <c r="BS468" s="281"/>
      <c r="BT468" s="281"/>
      <c r="BU468" s="281"/>
      <c r="BV468" s="281"/>
      <c r="BW468" s="281"/>
      <c r="BX468" s="281"/>
      <c r="BY468" s="281"/>
      <c r="BZ468" s="281"/>
    </row>
    <row r="469" spans="1:78" x14ac:dyDescent="0.2">
      <c r="A469" s="398"/>
      <c r="B469" s="286"/>
      <c r="C469" s="399"/>
      <c r="D469" s="391"/>
      <c r="E469" s="400"/>
      <c r="F469" s="400"/>
      <c r="G469" s="400"/>
      <c r="H469" s="431"/>
      <c r="I469" s="394"/>
      <c r="J469" s="431"/>
      <c r="K469" s="431"/>
      <c r="L469" s="431"/>
      <c r="M469" s="431"/>
      <c r="N469" s="400"/>
      <c r="O469" s="745"/>
      <c r="P469" s="745"/>
      <c r="Q469" s="745"/>
      <c r="R469" s="745"/>
      <c r="S469" s="745"/>
      <c r="T469" s="745"/>
      <c r="U469" s="745"/>
      <c r="V469" s="745"/>
      <c r="W469" s="745"/>
      <c r="X469" s="745"/>
      <c r="Y469" s="745"/>
      <c r="Z469" s="745"/>
      <c r="AA469" s="745"/>
      <c r="AB469" s="391"/>
      <c r="AC469" s="431"/>
      <c r="AD469" s="400"/>
      <c r="AE469" s="400"/>
      <c r="AF469" s="400"/>
      <c r="AG469" s="281"/>
      <c r="AH469" s="411"/>
      <c r="AI469" s="405"/>
      <c r="AJ469" s="405"/>
      <c r="AK469" s="405"/>
      <c r="AL469" s="405"/>
      <c r="AM469" s="405"/>
      <c r="AN469" s="405"/>
      <c r="AO469" s="405"/>
      <c r="AP469" s="258"/>
      <c r="AQ469" s="258"/>
      <c r="AR469" s="281"/>
      <c r="AS469" s="281"/>
      <c r="AT469" s="281"/>
      <c r="AU469" s="281"/>
      <c r="AV469" s="281"/>
      <c r="AW469" s="281"/>
      <c r="AX469" s="281"/>
      <c r="AY469" s="281"/>
      <c r="AZ469" s="281"/>
      <c r="BA469" s="281"/>
      <c r="BB469" s="281"/>
      <c r="BC469" s="281"/>
      <c r="BD469" s="281"/>
      <c r="BE469" s="281"/>
      <c r="BF469" s="281"/>
      <c r="BG469" s="281"/>
      <c r="BH469" s="281"/>
      <c r="BI469" s="281"/>
      <c r="BJ469" s="281"/>
      <c r="BK469" s="281"/>
      <c r="BL469" s="281"/>
      <c r="BM469" s="281"/>
      <c r="BN469" s="281"/>
      <c r="BO469" s="281"/>
      <c r="BP469" s="281"/>
      <c r="BQ469" s="281"/>
      <c r="BR469" s="281"/>
      <c r="BS469" s="281"/>
      <c r="BT469" s="281"/>
      <c r="BU469" s="281"/>
      <c r="BV469" s="281"/>
      <c r="BW469" s="281"/>
      <c r="BX469" s="281"/>
      <c r="BY469" s="281"/>
      <c r="BZ469" s="281"/>
    </row>
    <row r="470" spans="1:78" x14ac:dyDescent="0.2">
      <c r="A470" s="398"/>
      <c r="B470" s="286"/>
      <c r="C470" s="399"/>
      <c r="D470" s="391"/>
      <c r="E470" s="400"/>
      <c r="F470" s="400"/>
      <c r="G470" s="400"/>
      <c r="H470" s="431"/>
      <c r="I470" s="394"/>
      <c r="J470" s="431"/>
      <c r="K470" s="431"/>
      <c r="L470" s="431"/>
      <c r="M470" s="431"/>
      <c r="N470" s="400"/>
      <c r="O470" s="745"/>
      <c r="P470" s="745"/>
      <c r="Q470" s="745"/>
      <c r="R470" s="745"/>
      <c r="S470" s="745"/>
      <c r="T470" s="745"/>
      <c r="U470" s="745"/>
      <c r="V470" s="745"/>
      <c r="W470" s="745"/>
      <c r="X470" s="745"/>
      <c r="Y470" s="745"/>
      <c r="Z470" s="745"/>
      <c r="AA470" s="745"/>
      <c r="AB470" s="391"/>
      <c r="AC470" s="431"/>
      <c r="AD470" s="400"/>
      <c r="AE470" s="400"/>
      <c r="AF470" s="400"/>
      <c r="AG470" s="281"/>
      <c r="AH470" s="411"/>
      <c r="AI470" s="405"/>
      <c r="AJ470" s="405"/>
      <c r="AK470" s="405"/>
      <c r="AL470" s="405"/>
      <c r="AM470" s="405"/>
      <c r="AN470" s="405"/>
      <c r="AO470" s="405"/>
      <c r="AP470" s="258"/>
      <c r="AQ470" s="258"/>
      <c r="AR470" s="281"/>
      <c r="AS470" s="281"/>
      <c r="AT470" s="281"/>
      <c r="AU470" s="281"/>
      <c r="AV470" s="281"/>
      <c r="AW470" s="281"/>
      <c r="AX470" s="281"/>
      <c r="AY470" s="281"/>
      <c r="AZ470" s="281"/>
      <c r="BA470" s="281"/>
      <c r="BB470" s="281"/>
      <c r="BC470" s="281"/>
      <c r="BD470" s="281"/>
      <c r="BE470" s="281"/>
      <c r="BF470" s="281"/>
      <c r="BG470" s="281"/>
      <c r="BH470" s="281"/>
      <c r="BI470" s="281"/>
      <c r="BJ470" s="281"/>
      <c r="BK470" s="281"/>
      <c r="BL470" s="281"/>
      <c r="BM470" s="281"/>
      <c r="BN470" s="281"/>
      <c r="BO470" s="281"/>
      <c r="BP470" s="281"/>
      <c r="BQ470" s="281"/>
      <c r="BR470" s="281"/>
      <c r="BS470" s="281"/>
      <c r="BT470" s="281"/>
      <c r="BU470" s="281"/>
      <c r="BV470" s="281"/>
      <c r="BW470" s="281"/>
      <c r="BX470" s="281"/>
      <c r="BY470" s="281"/>
      <c r="BZ470" s="281"/>
    </row>
    <row r="471" spans="1:78" x14ac:dyDescent="0.2">
      <c r="A471" s="398"/>
      <c r="B471" s="286"/>
      <c r="C471" s="399"/>
      <c r="D471" s="391"/>
      <c r="E471" s="400"/>
      <c r="F471" s="400"/>
      <c r="G471" s="400"/>
      <c r="H471" s="431"/>
      <c r="I471" s="394"/>
      <c r="J471" s="431"/>
      <c r="K471" s="431"/>
      <c r="L471" s="431"/>
      <c r="M471" s="431"/>
      <c r="N471" s="400"/>
      <c r="O471" s="745"/>
      <c r="P471" s="745"/>
      <c r="Q471" s="745"/>
      <c r="R471" s="745"/>
      <c r="S471" s="745"/>
      <c r="T471" s="745"/>
      <c r="U471" s="745"/>
      <c r="V471" s="745"/>
      <c r="W471" s="745"/>
      <c r="X471" s="745"/>
      <c r="Y471" s="745"/>
      <c r="Z471" s="745"/>
      <c r="AA471" s="745"/>
      <c r="AB471" s="391"/>
      <c r="AC471" s="431"/>
      <c r="AD471" s="400"/>
      <c r="AE471" s="400"/>
      <c r="AF471" s="400"/>
      <c r="AG471" s="281"/>
      <c r="AH471" s="411"/>
      <c r="AI471" s="405"/>
      <c r="AJ471" s="405"/>
      <c r="AK471" s="405"/>
      <c r="AL471" s="405"/>
      <c r="AM471" s="405"/>
      <c r="AN471" s="405"/>
      <c r="AO471" s="405"/>
      <c r="AP471" s="258"/>
      <c r="AQ471" s="258"/>
      <c r="AR471" s="281"/>
      <c r="AS471" s="281"/>
      <c r="AT471" s="281"/>
      <c r="AU471" s="281"/>
      <c r="AV471" s="281"/>
      <c r="AW471" s="281"/>
      <c r="AX471" s="281"/>
      <c r="AY471" s="281"/>
      <c r="AZ471" s="281"/>
      <c r="BA471" s="281"/>
      <c r="BB471" s="281"/>
      <c r="BC471" s="281"/>
      <c r="BD471" s="281"/>
      <c r="BE471" s="281"/>
      <c r="BF471" s="281"/>
      <c r="BG471" s="281"/>
      <c r="BH471" s="281"/>
      <c r="BI471" s="281"/>
      <c r="BJ471" s="281"/>
      <c r="BK471" s="281"/>
      <c r="BL471" s="281"/>
      <c r="BM471" s="281"/>
      <c r="BN471" s="281"/>
      <c r="BO471" s="281"/>
      <c r="BP471" s="281"/>
      <c r="BQ471" s="281"/>
      <c r="BR471" s="281"/>
      <c r="BS471" s="281"/>
      <c r="BT471" s="281"/>
      <c r="BU471" s="281"/>
      <c r="BV471" s="281"/>
      <c r="BW471" s="281"/>
      <c r="BX471" s="281"/>
      <c r="BY471" s="281"/>
      <c r="BZ471" s="281"/>
    </row>
    <row r="472" spans="1:78" x14ac:dyDescent="0.2">
      <c r="A472" s="398"/>
      <c r="B472" s="286"/>
      <c r="C472" s="399"/>
      <c r="D472" s="391"/>
      <c r="E472" s="400"/>
      <c r="F472" s="400"/>
      <c r="G472" s="400"/>
      <c r="H472" s="431"/>
      <c r="I472" s="394"/>
      <c r="J472" s="431"/>
      <c r="K472" s="431"/>
      <c r="L472" s="431"/>
      <c r="M472" s="431"/>
      <c r="N472" s="400"/>
      <c r="O472" s="745"/>
      <c r="P472" s="745"/>
      <c r="Q472" s="745"/>
      <c r="R472" s="745"/>
      <c r="S472" s="745"/>
      <c r="T472" s="745"/>
      <c r="U472" s="745"/>
      <c r="V472" s="745"/>
      <c r="W472" s="745"/>
      <c r="X472" s="745"/>
      <c r="Y472" s="745"/>
      <c r="Z472" s="745"/>
      <c r="AA472" s="745"/>
      <c r="AB472" s="391"/>
      <c r="AC472" s="431"/>
      <c r="AD472" s="400"/>
      <c r="AE472" s="400"/>
      <c r="AF472" s="400"/>
      <c r="AG472" s="281"/>
      <c r="AH472" s="411"/>
      <c r="AI472" s="405"/>
      <c r="AJ472" s="405"/>
      <c r="AK472" s="405"/>
      <c r="AL472" s="405"/>
      <c r="AM472" s="405"/>
      <c r="AN472" s="405"/>
      <c r="AO472" s="405"/>
      <c r="AP472" s="258"/>
      <c r="AQ472" s="258"/>
      <c r="AR472" s="281"/>
      <c r="AS472" s="281"/>
      <c r="AT472" s="281"/>
      <c r="AU472" s="281"/>
      <c r="AV472" s="281"/>
      <c r="AW472" s="281"/>
      <c r="AX472" s="281"/>
      <c r="AY472" s="281"/>
      <c r="AZ472" s="281"/>
      <c r="BA472" s="281"/>
      <c r="BB472" s="281"/>
      <c r="BC472" s="281"/>
      <c r="BD472" s="281"/>
      <c r="BE472" s="281"/>
      <c r="BF472" s="281"/>
      <c r="BG472" s="281"/>
      <c r="BH472" s="281"/>
      <c r="BI472" s="281"/>
      <c r="BJ472" s="281"/>
      <c r="BK472" s="281"/>
      <c r="BL472" s="281"/>
      <c r="BM472" s="281"/>
      <c r="BN472" s="281"/>
      <c r="BO472" s="281"/>
      <c r="BP472" s="281"/>
      <c r="BQ472" s="281"/>
      <c r="BR472" s="281"/>
      <c r="BS472" s="281"/>
      <c r="BT472" s="281"/>
      <c r="BU472" s="281"/>
      <c r="BV472" s="281"/>
      <c r="BW472" s="281"/>
      <c r="BX472" s="281"/>
      <c r="BY472" s="281"/>
      <c r="BZ472" s="281"/>
    </row>
    <row r="473" spans="1:78" x14ac:dyDescent="0.2">
      <c r="A473" s="398"/>
      <c r="B473" s="286"/>
      <c r="C473" s="399"/>
      <c r="D473" s="391"/>
      <c r="E473" s="400"/>
      <c r="F473" s="400"/>
      <c r="G473" s="400"/>
      <c r="H473" s="431"/>
      <c r="I473" s="394"/>
      <c r="J473" s="431"/>
      <c r="K473" s="431"/>
      <c r="L473" s="431"/>
      <c r="M473" s="431"/>
      <c r="N473" s="400"/>
      <c r="O473" s="745"/>
      <c r="P473" s="745"/>
      <c r="Q473" s="745"/>
      <c r="R473" s="745"/>
      <c r="S473" s="745"/>
      <c r="T473" s="745"/>
      <c r="U473" s="745"/>
      <c r="V473" s="745"/>
      <c r="W473" s="745"/>
      <c r="X473" s="745"/>
      <c r="Y473" s="745"/>
      <c r="Z473" s="745"/>
      <c r="AA473" s="745"/>
      <c r="AB473" s="391"/>
      <c r="AC473" s="431"/>
      <c r="AD473" s="400"/>
      <c r="AE473" s="400"/>
      <c r="AF473" s="400"/>
      <c r="AG473" s="281"/>
      <c r="AH473" s="411"/>
      <c r="AI473" s="405"/>
      <c r="AJ473" s="405"/>
      <c r="AK473" s="405"/>
      <c r="AL473" s="405"/>
      <c r="AM473" s="405"/>
      <c r="AN473" s="405"/>
      <c r="AO473" s="405"/>
      <c r="AP473" s="258"/>
      <c r="AQ473" s="258"/>
      <c r="AR473" s="281"/>
      <c r="AS473" s="281"/>
      <c r="AT473" s="281"/>
      <c r="AU473" s="281"/>
      <c r="AV473" s="281"/>
      <c r="AW473" s="281"/>
      <c r="AX473" s="281"/>
      <c r="AY473" s="281"/>
      <c r="AZ473" s="281"/>
      <c r="BA473" s="281"/>
      <c r="BB473" s="281"/>
      <c r="BC473" s="281"/>
      <c r="BD473" s="281"/>
      <c r="BE473" s="281"/>
      <c r="BF473" s="281"/>
      <c r="BG473" s="281"/>
      <c r="BH473" s="281"/>
      <c r="BI473" s="281"/>
      <c r="BJ473" s="281"/>
      <c r="BK473" s="281"/>
      <c r="BL473" s="281"/>
      <c r="BM473" s="281"/>
      <c r="BN473" s="281"/>
      <c r="BO473" s="281"/>
      <c r="BP473" s="281"/>
      <c r="BQ473" s="281"/>
      <c r="BR473" s="281"/>
      <c r="BS473" s="281"/>
      <c r="BT473" s="281"/>
      <c r="BU473" s="281"/>
      <c r="BV473" s="281"/>
      <c r="BW473" s="281"/>
      <c r="BX473" s="281"/>
      <c r="BY473" s="281"/>
      <c r="BZ473" s="281"/>
    </row>
    <row r="474" spans="1:78" x14ac:dyDescent="0.2">
      <c r="A474" s="398"/>
      <c r="B474" s="286"/>
      <c r="C474" s="399"/>
      <c r="D474" s="391"/>
      <c r="E474" s="400"/>
      <c r="F474" s="400"/>
      <c r="G474" s="400"/>
      <c r="H474" s="431"/>
      <c r="I474" s="394"/>
      <c r="J474" s="431"/>
      <c r="K474" s="431"/>
      <c r="L474" s="431"/>
      <c r="M474" s="431"/>
      <c r="N474" s="400"/>
      <c r="O474" s="745"/>
      <c r="P474" s="745"/>
      <c r="Q474" s="745"/>
      <c r="R474" s="745"/>
      <c r="S474" s="745"/>
      <c r="T474" s="745"/>
      <c r="U474" s="745"/>
      <c r="V474" s="745"/>
      <c r="W474" s="745"/>
      <c r="X474" s="745"/>
      <c r="Y474" s="745"/>
      <c r="Z474" s="745"/>
      <c r="AA474" s="745"/>
      <c r="AB474" s="391"/>
      <c r="AC474" s="431"/>
      <c r="AD474" s="400"/>
      <c r="AE474" s="400"/>
      <c r="AF474" s="400"/>
      <c r="AG474" s="281"/>
      <c r="AH474" s="411"/>
      <c r="AI474" s="405"/>
      <c r="AJ474" s="405"/>
      <c r="AK474" s="405"/>
      <c r="AL474" s="405"/>
      <c r="AM474" s="405"/>
      <c r="AN474" s="405"/>
      <c r="AO474" s="405"/>
      <c r="AP474" s="258"/>
      <c r="AQ474" s="258"/>
      <c r="AR474" s="281"/>
      <c r="AS474" s="281"/>
      <c r="AT474" s="281"/>
      <c r="AU474" s="281"/>
      <c r="AV474" s="281"/>
      <c r="AW474" s="281"/>
      <c r="AX474" s="281"/>
      <c r="AY474" s="281"/>
      <c r="AZ474" s="281"/>
      <c r="BA474" s="281"/>
      <c r="BB474" s="281"/>
      <c r="BC474" s="281"/>
      <c r="BD474" s="281"/>
      <c r="BE474" s="281"/>
      <c r="BF474" s="281"/>
      <c r="BG474" s="281"/>
      <c r="BH474" s="281"/>
      <c r="BI474" s="281"/>
      <c r="BJ474" s="281"/>
      <c r="BK474" s="281"/>
      <c r="BL474" s="281"/>
      <c r="BM474" s="281"/>
      <c r="BN474" s="281"/>
      <c r="BO474" s="281"/>
      <c r="BP474" s="281"/>
      <c r="BQ474" s="281"/>
      <c r="BR474" s="281"/>
      <c r="BS474" s="281"/>
      <c r="BT474" s="281"/>
      <c r="BU474" s="281"/>
      <c r="BV474" s="281"/>
      <c r="BW474" s="281"/>
      <c r="BX474" s="281"/>
      <c r="BY474" s="281"/>
      <c r="BZ474" s="281"/>
    </row>
    <row r="475" spans="1:78" x14ac:dyDescent="0.2">
      <c r="A475" s="398"/>
      <c r="B475" s="286"/>
      <c r="C475" s="399"/>
      <c r="D475" s="391"/>
      <c r="E475" s="400"/>
      <c r="F475" s="400"/>
      <c r="G475" s="400"/>
      <c r="H475" s="431"/>
      <c r="I475" s="394"/>
      <c r="J475" s="431"/>
      <c r="K475" s="431"/>
      <c r="L475" s="431"/>
      <c r="M475" s="431"/>
      <c r="N475" s="400"/>
      <c r="O475" s="745"/>
      <c r="P475" s="745"/>
      <c r="Q475" s="745"/>
      <c r="R475" s="745"/>
      <c r="S475" s="745"/>
      <c r="T475" s="745"/>
      <c r="U475" s="745"/>
      <c r="V475" s="745"/>
      <c r="W475" s="745"/>
      <c r="X475" s="745"/>
      <c r="Y475" s="745"/>
      <c r="Z475" s="745"/>
      <c r="AA475" s="745"/>
      <c r="AB475" s="391"/>
      <c r="AC475" s="431"/>
      <c r="AD475" s="400"/>
      <c r="AE475" s="400"/>
      <c r="AF475" s="400"/>
      <c r="AG475" s="281"/>
      <c r="AH475" s="411"/>
      <c r="AI475" s="405"/>
      <c r="AJ475" s="405"/>
      <c r="AK475" s="405"/>
      <c r="AL475" s="405"/>
      <c r="AM475" s="405"/>
      <c r="AN475" s="405"/>
      <c r="AO475" s="405"/>
      <c r="AP475" s="258"/>
      <c r="AQ475" s="258"/>
      <c r="AR475" s="281"/>
      <c r="AS475" s="281"/>
      <c r="AT475" s="281"/>
      <c r="AU475" s="281"/>
      <c r="AV475" s="281"/>
      <c r="AW475" s="281"/>
      <c r="AX475" s="281"/>
      <c r="AY475" s="281"/>
      <c r="AZ475" s="281"/>
      <c r="BA475" s="281"/>
      <c r="BB475" s="281"/>
      <c r="BC475" s="281"/>
      <c r="BD475" s="281"/>
      <c r="BE475" s="281"/>
      <c r="BF475" s="281"/>
      <c r="BG475" s="281"/>
      <c r="BH475" s="281"/>
      <c r="BI475" s="281"/>
      <c r="BJ475" s="281"/>
      <c r="BK475" s="281"/>
      <c r="BL475" s="281"/>
      <c r="BM475" s="281"/>
      <c r="BN475" s="281"/>
      <c r="BO475" s="281"/>
      <c r="BP475" s="281"/>
      <c r="BQ475" s="281"/>
      <c r="BR475" s="281"/>
      <c r="BS475" s="281"/>
      <c r="BT475" s="281"/>
      <c r="BU475" s="281"/>
      <c r="BV475" s="281"/>
      <c r="BW475" s="281"/>
      <c r="BX475" s="281"/>
      <c r="BY475" s="281"/>
      <c r="BZ475" s="281"/>
    </row>
    <row r="476" spans="1:78" x14ac:dyDescent="0.2">
      <c r="A476" s="398"/>
      <c r="B476" s="286"/>
      <c r="C476" s="399"/>
      <c r="D476" s="391"/>
      <c r="E476" s="400"/>
      <c r="F476" s="400"/>
      <c r="G476" s="400"/>
      <c r="H476" s="431"/>
      <c r="I476" s="394"/>
      <c r="J476" s="431"/>
      <c r="K476" s="431"/>
      <c r="L476" s="431"/>
      <c r="M476" s="431"/>
      <c r="N476" s="400"/>
      <c r="O476" s="745"/>
      <c r="P476" s="745"/>
      <c r="Q476" s="745"/>
      <c r="R476" s="745"/>
      <c r="S476" s="745"/>
      <c r="T476" s="745"/>
      <c r="U476" s="745"/>
      <c r="V476" s="745"/>
      <c r="W476" s="745"/>
      <c r="X476" s="745"/>
      <c r="Y476" s="745"/>
      <c r="Z476" s="745"/>
      <c r="AA476" s="745"/>
      <c r="AB476" s="391"/>
      <c r="AC476" s="431"/>
      <c r="AD476" s="400"/>
      <c r="AE476" s="400"/>
      <c r="AF476" s="400"/>
      <c r="AG476" s="281"/>
      <c r="AH476" s="411"/>
      <c r="AI476" s="405"/>
      <c r="AJ476" s="405"/>
      <c r="AK476" s="405"/>
      <c r="AL476" s="405"/>
      <c r="AM476" s="405"/>
      <c r="AN476" s="405"/>
      <c r="AO476" s="405"/>
      <c r="AP476" s="258"/>
      <c r="AQ476" s="258"/>
      <c r="AR476" s="281"/>
      <c r="AS476" s="281"/>
      <c r="AT476" s="281"/>
      <c r="AU476" s="281"/>
      <c r="AV476" s="281"/>
      <c r="AW476" s="281"/>
      <c r="AX476" s="281"/>
      <c r="AY476" s="281"/>
      <c r="AZ476" s="281"/>
      <c r="BA476" s="281"/>
      <c r="BB476" s="281"/>
      <c r="BC476" s="281"/>
      <c r="BD476" s="281"/>
      <c r="BE476" s="281"/>
      <c r="BF476" s="281"/>
      <c r="BG476" s="281"/>
      <c r="BH476" s="281"/>
      <c r="BI476" s="281"/>
      <c r="BJ476" s="281"/>
      <c r="BK476" s="281"/>
      <c r="BL476" s="281"/>
      <c r="BM476" s="281"/>
      <c r="BN476" s="281"/>
      <c r="BO476" s="281"/>
      <c r="BP476" s="281"/>
      <c r="BQ476" s="281"/>
      <c r="BR476" s="281"/>
      <c r="BS476" s="281"/>
      <c r="BT476" s="281"/>
      <c r="BU476" s="281"/>
      <c r="BV476" s="281"/>
      <c r="BW476" s="281"/>
      <c r="BX476" s="281"/>
      <c r="BY476" s="281"/>
      <c r="BZ476" s="281"/>
    </row>
    <row r="477" spans="1:78" x14ac:dyDescent="0.2">
      <c r="A477" s="398"/>
      <c r="B477" s="286"/>
      <c r="C477" s="399"/>
      <c r="D477" s="391"/>
      <c r="E477" s="400"/>
      <c r="F477" s="400"/>
      <c r="G477" s="400"/>
      <c r="H477" s="431"/>
      <c r="I477" s="394"/>
      <c r="J477" s="431"/>
      <c r="K477" s="431"/>
      <c r="L477" s="431"/>
      <c r="M477" s="431"/>
      <c r="N477" s="400"/>
      <c r="O477" s="745"/>
      <c r="P477" s="745"/>
      <c r="Q477" s="745"/>
      <c r="R477" s="745"/>
      <c r="S477" s="745"/>
      <c r="T477" s="745"/>
      <c r="U477" s="745"/>
      <c r="V477" s="745"/>
      <c r="W477" s="745"/>
      <c r="X477" s="745"/>
      <c r="Y477" s="745"/>
      <c r="Z477" s="745"/>
      <c r="AA477" s="745"/>
      <c r="AB477" s="391"/>
      <c r="AC477" s="431"/>
      <c r="AD477" s="400"/>
      <c r="AE477" s="400"/>
      <c r="AF477" s="400"/>
      <c r="AG477" s="281"/>
      <c r="AH477" s="411"/>
      <c r="AI477" s="405"/>
      <c r="AJ477" s="405"/>
      <c r="AK477" s="405"/>
      <c r="AL477" s="405"/>
      <c r="AM477" s="405"/>
      <c r="AN477" s="405"/>
      <c r="AO477" s="405"/>
      <c r="AP477" s="258"/>
      <c r="AQ477" s="258"/>
      <c r="AR477" s="281"/>
      <c r="AS477" s="281"/>
      <c r="AT477" s="281"/>
      <c r="AU477" s="281"/>
      <c r="AV477" s="281"/>
      <c r="AW477" s="281"/>
      <c r="AX477" s="281"/>
      <c r="AY477" s="281"/>
      <c r="AZ477" s="281"/>
      <c r="BA477" s="281"/>
      <c r="BB477" s="281"/>
      <c r="BC477" s="281"/>
      <c r="BD477" s="281"/>
      <c r="BE477" s="281"/>
      <c r="BF477" s="281"/>
      <c r="BG477" s="281"/>
      <c r="BH477" s="281"/>
      <c r="BI477" s="281"/>
      <c r="BJ477" s="281"/>
      <c r="BK477" s="281"/>
      <c r="BL477" s="281"/>
      <c r="BM477" s="281"/>
      <c r="BN477" s="281"/>
      <c r="BO477" s="281"/>
      <c r="BP477" s="281"/>
      <c r="BQ477" s="281"/>
      <c r="BR477" s="281"/>
      <c r="BS477" s="281"/>
      <c r="BT477" s="281"/>
      <c r="BU477" s="281"/>
      <c r="BV477" s="281"/>
      <c r="BW477" s="281"/>
      <c r="BX477" s="281"/>
      <c r="BY477" s="281"/>
      <c r="BZ477" s="281"/>
    </row>
    <row r="478" spans="1:78" x14ac:dyDescent="0.2">
      <c r="A478" s="398"/>
      <c r="B478" s="286"/>
      <c r="C478" s="399"/>
      <c r="D478" s="391"/>
      <c r="E478" s="400"/>
      <c r="F478" s="400"/>
      <c r="G478" s="400"/>
      <c r="H478" s="431"/>
      <c r="I478" s="394"/>
      <c r="J478" s="431"/>
      <c r="K478" s="431"/>
      <c r="L478" s="431"/>
      <c r="M478" s="431"/>
      <c r="N478" s="400"/>
      <c r="O478" s="745"/>
      <c r="P478" s="745"/>
      <c r="Q478" s="745"/>
      <c r="R478" s="745"/>
      <c r="S478" s="745"/>
      <c r="T478" s="745"/>
      <c r="U478" s="745"/>
      <c r="V478" s="745"/>
      <c r="W478" s="745"/>
      <c r="X478" s="745"/>
      <c r="Y478" s="745"/>
      <c r="Z478" s="745"/>
      <c r="AA478" s="745"/>
      <c r="AB478" s="391"/>
      <c r="AC478" s="431"/>
      <c r="AD478" s="400"/>
      <c r="AE478" s="400"/>
      <c r="AF478" s="400"/>
      <c r="AG478" s="281"/>
      <c r="AH478" s="411"/>
      <c r="AI478" s="405"/>
      <c r="AJ478" s="405"/>
      <c r="AK478" s="405"/>
      <c r="AL478" s="405"/>
      <c r="AM478" s="405"/>
      <c r="AN478" s="405"/>
      <c r="AO478" s="405"/>
      <c r="AP478" s="258"/>
      <c r="AQ478" s="258"/>
      <c r="AR478" s="281"/>
      <c r="AS478" s="281"/>
      <c r="AT478" s="281"/>
      <c r="AU478" s="281"/>
      <c r="AV478" s="281"/>
      <c r="AW478" s="281"/>
      <c r="AX478" s="281"/>
      <c r="AY478" s="281"/>
      <c r="AZ478" s="281"/>
      <c r="BA478" s="281"/>
      <c r="BB478" s="281"/>
      <c r="BC478" s="281"/>
      <c r="BD478" s="281"/>
      <c r="BE478" s="281"/>
      <c r="BF478" s="281"/>
      <c r="BG478" s="281"/>
      <c r="BH478" s="281"/>
      <c r="BI478" s="281"/>
      <c r="BJ478" s="281"/>
      <c r="BK478" s="281"/>
      <c r="BL478" s="281"/>
      <c r="BM478" s="281"/>
      <c r="BN478" s="281"/>
      <c r="BO478" s="281"/>
      <c r="BP478" s="281"/>
      <c r="BQ478" s="281"/>
      <c r="BR478" s="281"/>
      <c r="BS478" s="281"/>
      <c r="BT478" s="281"/>
      <c r="BU478" s="281"/>
      <c r="BV478" s="281"/>
      <c r="BW478" s="281"/>
      <c r="BX478" s="281"/>
      <c r="BY478" s="281"/>
      <c r="BZ478" s="281"/>
    </row>
    <row r="479" spans="1:78" x14ac:dyDescent="0.2">
      <c r="A479" s="398"/>
      <c r="B479" s="286"/>
      <c r="C479" s="399"/>
      <c r="D479" s="391"/>
      <c r="E479" s="400"/>
      <c r="F479" s="400"/>
      <c r="G479" s="400"/>
      <c r="H479" s="431"/>
      <c r="I479" s="394"/>
      <c r="J479" s="431"/>
      <c r="K479" s="431"/>
      <c r="L479" s="431"/>
      <c r="M479" s="431"/>
      <c r="N479" s="400"/>
      <c r="O479" s="745"/>
      <c r="P479" s="745"/>
      <c r="Q479" s="745"/>
      <c r="R479" s="745"/>
      <c r="S479" s="745"/>
      <c r="T479" s="745"/>
      <c r="U479" s="745"/>
      <c r="V479" s="745"/>
      <c r="W479" s="745"/>
      <c r="X479" s="745"/>
      <c r="Y479" s="745"/>
      <c r="Z479" s="745"/>
      <c r="AA479" s="745"/>
      <c r="AB479" s="431"/>
      <c r="AC479" s="431"/>
      <c r="AD479" s="400"/>
      <c r="AE479" s="400"/>
      <c r="AF479" s="400"/>
      <c r="AG479" s="281"/>
      <c r="AH479" s="411"/>
      <c r="AI479" s="405"/>
      <c r="AJ479" s="405"/>
      <c r="AK479" s="405"/>
      <c r="AL479" s="405"/>
      <c r="AM479" s="405"/>
      <c r="AN479" s="405"/>
      <c r="AO479" s="405"/>
      <c r="AP479" s="258"/>
      <c r="AQ479" s="258"/>
      <c r="AR479" s="281"/>
      <c r="AS479" s="281"/>
      <c r="AT479" s="281"/>
      <c r="AU479" s="281"/>
      <c r="AV479" s="281"/>
      <c r="AW479" s="281"/>
      <c r="AX479" s="281"/>
      <c r="AY479" s="281"/>
      <c r="AZ479" s="281"/>
      <c r="BA479" s="281"/>
      <c r="BB479" s="281"/>
      <c r="BC479" s="281"/>
      <c r="BD479" s="281"/>
      <c r="BE479" s="281"/>
      <c r="BF479" s="281"/>
      <c r="BG479" s="281"/>
      <c r="BH479" s="281"/>
      <c r="BI479" s="281"/>
      <c r="BJ479" s="281"/>
      <c r="BK479" s="281"/>
      <c r="BL479" s="281"/>
      <c r="BM479" s="281"/>
      <c r="BN479" s="281"/>
      <c r="BO479" s="281"/>
      <c r="BP479" s="281"/>
      <c r="BQ479" s="281"/>
      <c r="BR479" s="281"/>
      <c r="BS479" s="281"/>
      <c r="BT479" s="281"/>
      <c r="BU479" s="281"/>
      <c r="BV479" s="281"/>
      <c r="BW479" s="281"/>
      <c r="BX479" s="281"/>
      <c r="BY479" s="281"/>
      <c r="BZ479" s="281"/>
    </row>
    <row r="480" spans="1:78" x14ac:dyDescent="0.2">
      <c r="A480" s="398"/>
      <c r="B480" s="286"/>
      <c r="C480" s="399"/>
      <c r="D480" s="391"/>
      <c r="E480" s="400"/>
      <c r="F480" s="400"/>
      <c r="G480" s="400"/>
      <c r="H480" s="431"/>
      <c r="I480" s="394"/>
      <c r="J480" s="431"/>
      <c r="K480" s="431"/>
      <c r="L480" s="431"/>
      <c r="M480" s="431"/>
      <c r="N480" s="400"/>
      <c r="O480" s="745"/>
      <c r="P480" s="745"/>
      <c r="Q480" s="745"/>
      <c r="R480" s="745"/>
      <c r="S480" s="745"/>
      <c r="T480" s="745"/>
      <c r="U480" s="745"/>
      <c r="V480" s="745"/>
      <c r="W480" s="745"/>
      <c r="X480" s="745"/>
      <c r="Y480" s="745"/>
      <c r="Z480" s="745"/>
      <c r="AA480" s="745"/>
      <c r="AB480" s="431"/>
      <c r="AC480" s="431"/>
      <c r="AD480" s="400"/>
      <c r="AE480" s="400"/>
      <c r="AF480" s="400"/>
      <c r="AG480" s="281"/>
      <c r="AH480" s="411"/>
      <c r="AI480" s="405"/>
      <c r="AJ480" s="405"/>
      <c r="AK480" s="405"/>
      <c r="AL480" s="405"/>
      <c r="AM480" s="405"/>
      <c r="AN480" s="405"/>
      <c r="AO480" s="405"/>
      <c r="AP480" s="258"/>
      <c r="AQ480" s="258"/>
      <c r="AR480" s="281"/>
      <c r="AS480" s="281"/>
      <c r="AT480" s="281"/>
      <c r="AU480" s="281"/>
      <c r="AV480" s="281"/>
      <c r="AW480" s="281"/>
      <c r="AX480" s="281"/>
      <c r="AY480" s="281"/>
      <c r="AZ480" s="281"/>
      <c r="BA480" s="281"/>
      <c r="BB480" s="281"/>
      <c r="BC480" s="281"/>
      <c r="BD480" s="281"/>
      <c r="BE480" s="281"/>
      <c r="BF480" s="281"/>
      <c r="BG480" s="281"/>
      <c r="BH480" s="281"/>
      <c r="BI480" s="281"/>
      <c r="BJ480" s="281"/>
      <c r="BK480" s="281"/>
      <c r="BL480" s="281"/>
      <c r="BM480" s="281"/>
      <c r="BN480" s="281"/>
      <c r="BO480" s="281"/>
      <c r="BP480" s="281"/>
      <c r="BQ480" s="281"/>
      <c r="BR480" s="281"/>
      <c r="BS480" s="281"/>
      <c r="BT480" s="281"/>
      <c r="BU480" s="281"/>
      <c r="BV480" s="281"/>
      <c r="BW480" s="281"/>
      <c r="BX480" s="281"/>
      <c r="BY480" s="281"/>
      <c r="BZ480" s="281"/>
    </row>
    <row r="481" spans="1:78" x14ac:dyDescent="0.2">
      <c r="A481" s="398"/>
      <c r="B481" s="286"/>
      <c r="C481" s="399"/>
      <c r="D481" s="391"/>
      <c r="E481" s="400"/>
      <c r="F481" s="400"/>
      <c r="G481" s="400"/>
      <c r="H481" s="431"/>
      <c r="I481" s="394"/>
      <c r="J481" s="431"/>
      <c r="K481" s="431"/>
      <c r="L481" s="431"/>
      <c r="M481" s="431"/>
      <c r="N481" s="400"/>
      <c r="O481" s="745"/>
      <c r="P481" s="745"/>
      <c r="Q481" s="745"/>
      <c r="R481" s="745"/>
      <c r="S481" s="745"/>
      <c r="T481" s="745"/>
      <c r="U481" s="745"/>
      <c r="V481" s="745"/>
      <c r="W481" s="745"/>
      <c r="X481" s="745"/>
      <c r="Y481" s="745"/>
      <c r="Z481" s="745"/>
      <c r="AA481" s="745"/>
      <c r="AB481" s="431"/>
      <c r="AC481" s="431"/>
      <c r="AD481" s="400"/>
      <c r="AE481" s="400"/>
      <c r="AF481" s="400"/>
      <c r="AG481" s="281"/>
      <c r="AH481" s="411"/>
      <c r="AI481" s="405"/>
      <c r="AJ481" s="405"/>
      <c r="AK481" s="405"/>
      <c r="AL481" s="405"/>
      <c r="AM481" s="405"/>
      <c r="AN481" s="405"/>
      <c r="AO481" s="405"/>
      <c r="AP481" s="258"/>
      <c r="AQ481" s="258"/>
      <c r="AR481" s="281"/>
      <c r="AS481" s="281"/>
      <c r="AT481" s="281"/>
      <c r="AU481" s="281"/>
      <c r="AV481" s="281"/>
      <c r="AW481" s="281"/>
      <c r="AX481" s="281"/>
      <c r="AY481" s="281"/>
      <c r="AZ481" s="281"/>
      <c r="BA481" s="281"/>
      <c r="BB481" s="281"/>
      <c r="BC481" s="281"/>
      <c r="BD481" s="281"/>
      <c r="BE481" s="281"/>
      <c r="BF481" s="281"/>
      <c r="BG481" s="281"/>
      <c r="BH481" s="281"/>
      <c r="BI481" s="281"/>
      <c r="BJ481" s="281"/>
      <c r="BK481" s="281"/>
      <c r="BL481" s="281"/>
      <c r="BM481" s="281"/>
      <c r="BN481" s="281"/>
      <c r="BO481" s="281"/>
      <c r="BP481" s="281"/>
      <c r="BQ481" s="281"/>
      <c r="BR481" s="281"/>
      <c r="BS481" s="281"/>
      <c r="BT481" s="281"/>
      <c r="BU481" s="281"/>
      <c r="BV481" s="281"/>
      <c r="BW481" s="281"/>
      <c r="BX481" s="281"/>
      <c r="BY481" s="281"/>
      <c r="BZ481" s="281"/>
    </row>
    <row r="482" spans="1:78" x14ac:dyDescent="0.2">
      <c r="A482" s="398"/>
      <c r="B482" s="286"/>
      <c r="C482" s="399"/>
      <c r="D482" s="391"/>
      <c r="E482" s="400"/>
      <c r="F482" s="400"/>
      <c r="G482" s="400"/>
      <c r="H482" s="431"/>
      <c r="I482" s="394"/>
      <c r="J482" s="431"/>
      <c r="K482" s="431"/>
      <c r="L482" s="431"/>
      <c r="M482" s="431"/>
      <c r="N482" s="400"/>
      <c r="O482" s="745"/>
      <c r="P482" s="745"/>
      <c r="Q482" s="745"/>
      <c r="R482" s="745"/>
      <c r="S482" s="745"/>
      <c r="T482" s="745"/>
      <c r="U482" s="745"/>
      <c r="V482" s="745"/>
      <c r="W482" s="745"/>
      <c r="X482" s="745"/>
      <c r="Y482" s="745"/>
      <c r="Z482" s="745"/>
      <c r="AA482" s="745"/>
      <c r="AB482" s="431"/>
      <c r="AC482" s="431"/>
      <c r="AD482" s="400"/>
      <c r="AE482" s="400"/>
      <c r="AF482" s="400"/>
      <c r="AG482" s="281"/>
      <c r="AH482" s="411"/>
      <c r="AI482" s="405"/>
      <c r="AJ482" s="405"/>
      <c r="AK482" s="405"/>
      <c r="AL482" s="405"/>
      <c r="AM482" s="405"/>
      <c r="AN482" s="405"/>
      <c r="AO482" s="405"/>
      <c r="AP482" s="258"/>
      <c r="AQ482" s="258"/>
      <c r="AR482" s="281"/>
      <c r="AS482" s="281"/>
      <c r="AT482" s="281"/>
      <c r="AU482" s="281"/>
      <c r="AV482" s="281"/>
      <c r="AW482" s="281"/>
      <c r="AX482" s="281"/>
      <c r="AY482" s="281"/>
      <c r="AZ482" s="281"/>
      <c r="BA482" s="281"/>
      <c r="BB482" s="281"/>
      <c r="BC482" s="281"/>
      <c r="BD482" s="281"/>
      <c r="BE482" s="281"/>
      <c r="BF482" s="281"/>
      <c r="BG482" s="281"/>
      <c r="BH482" s="281"/>
      <c r="BI482" s="281"/>
      <c r="BJ482" s="281"/>
      <c r="BK482" s="281"/>
      <c r="BL482" s="281"/>
      <c r="BM482" s="281"/>
      <c r="BN482" s="281"/>
      <c r="BO482" s="281"/>
      <c r="BP482" s="281"/>
      <c r="BQ482" s="281"/>
      <c r="BR482" s="281"/>
      <c r="BS482" s="281"/>
      <c r="BT482" s="281"/>
      <c r="BU482" s="281"/>
      <c r="BV482" s="281"/>
      <c r="BW482" s="281"/>
      <c r="BX482" s="281"/>
      <c r="BY482" s="281"/>
      <c r="BZ482" s="281"/>
    </row>
    <row r="483" spans="1:78" x14ac:dyDescent="0.2">
      <c r="A483" s="398"/>
      <c r="B483" s="286"/>
      <c r="C483" s="399"/>
      <c r="D483" s="391"/>
      <c r="E483" s="400"/>
      <c r="F483" s="400"/>
      <c r="G483" s="400"/>
      <c r="H483" s="431"/>
      <c r="I483" s="394"/>
      <c r="J483" s="431"/>
      <c r="K483" s="431"/>
      <c r="L483" s="431"/>
      <c r="M483" s="431"/>
      <c r="N483" s="400"/>
      <c r="O483" s="745"/>
      <c r="P483" s="745"/>
      <c r="Q483" s="745"/>
      <c r="R483" s="745"/>
      <c r="S483" s="745"/>
      <c r="T483" s="745"/>
      <c r="U483" s="745"/>
      <c r="V483" s="745"/>
      <c r="W483" s="745"/>
      <c r="X483" s="745"/>
      <c r="Y483" s="745"/>
      <c r="Z483" s="745"/>
      <c r="AA483" s="745"/>
      <c r="AB483" s="431"/>
      <c r="AC483" s="431"/>
      <c r="AD483" s="400"/>
      <c r="AE483" s="400"/>
      <c r="AF483" s="400"/>
      <c r="AG483" s="281"/>
      <c r="AH483" s="411"/>
      <c r="AI483" s="405"/>
      <c r="AJ483" s="405"/>
      <c r="AK483" s="405"/>
      <c r="AL483" s="405"/>
      <c r="AM483" s="405"/>
      <c r="AN483" s="405"/>
      <c r="AO483" s="405"/>
      <c r="AP483" s="258"/>
      <c r="AQ483" s="258"/>
      <c r="AR483" s="281"/>
      <c r="AS483" s="281"/>
      <c r="AT483" s="281"/>
      <c r="AU483" s="281"/>
      <c r="AV483" s="281"/>
      <c r="AW483" s="281"/>
      <c r="AX483" s="281"/>
      <c r="AY483" s="281"/>
      <c r="AZ483" s="281"/>
      <c r="BA483" s="281"/>
      <c r="BB483" s="281"/>
      <c r="BC483" s="281"/>
      <c r="BD483" s="281"/>
      <c r="BE483" s="281"/>
      <c r="BF483" s="281"/>
      <c r="BG483" s="281"/>
      <c r="BH483" s="281"/>
      <c r="BI483" s="281"/>
      <c r="BJ483" s="281"/>
      <c r="BK483" s="281"/>
      <c r="BL483" s="281"/>
      <c r="BM483" s="281"/>
      <c r="BN483" s="281"/>
      <c r="BO483" s="281"/>
      <c r="BP483" s="281"/>
      <c r="BQ483" s="281"/>
      <c r="BR483" s="281"/>
      <c r="BS483" s="281"/>
      <c r="BT483" s="281"/>
      <c r="BU483" s="281"/>
      <c r="BV483" s="281"/>
      <c r="BW483" s="281"/>
      <c r="BX483" s="281"/>
      <c r="BY483" s="281"/>
      <c r="BZ483" s="281"/>
    </row>
    <row r="484" spans="1:78" x14ac:dyDescent="0.2">
      <c r="A484" s="398"/>
      <c r="B484" s="286"/>
      <c r="C484" s="399"/>
      <c r="D484" s="391"/>
      <c r="E484" s="400"/>
      <c r="F484" s="400"/>
      <c r="G484" s="400"/>
      <c r="H484" s="431"/>
      <c r="I484" s="394"/>
      <c r="J484" s="431"/>
      <c r="K484" s="431"/>
      <c r="L484" s="431"/>
      <c r="M484" s="431"/>
      <c r="N484" s="400"/>
      <c r="O484" s="745"/>
      <c r="P484" s="745"/>
      <c r="Q484" s="745"/>
      <c r="R484" s="745"/>
      <c r="S484" s="745"/>
      <c r="T484" s="745"/>
      <c r="U484" s="745"/>
      <c r="V484" s="745"/>
      <c r="W484" s="745"/>
      <c r="X484" s="745"/>
      <c r="Y484" s="745"/>
      <c r="Z484" s="745"/>
      <c r="AA484" s="745"/>
      <c r="AB484" s="431"/>
      <c r="AC484" s="431"/>
      <c r="AD484" s="400"/>
      <c r="AE484" s="400"/>
      <c r="AF484" s="400"/>
      <c r="AG484" s="281"/>
      <c r="AH484" s="411"/>
      <c r="AI484" s="405"/>
      <c r="AJ484" s="405"/>
      <c r="AK484" s="405"/>
      <c r="AL484" s="405"/>
      <c r="AM484" s="405"/>
      <c r="AN484" s="405"/>
      <c r="AO484" s="405"/>
      <c r="AP484" s="258"/>
      <c r="AQ484" s="258"/>
      <c r="AR484" s="281"/>
      <c r="AS484" s="281"/>
      <c r="AT484" s="281"/>
      <c r="AU484" s="281"/>
      <c r="AV484" s="281"/>
      <c r="AW484" s="281"/>
      <c r="AX484" s="281"/>
      <c r="AY484" s="281"/>
      <c r="AZ484" s="281"/>
      <c r="BA484" s="281"/>
      <c r="BB484" s="281"/>
      <c r="BC484" s="281"/>
      <c r="BD484" s="281"/>
      <c r="BE484" s="281"/>
      <c r="BF484" s="281"/>
      <c r="BG484" s="281"/>
      <c r="BH484" s="281"/>
      <c r="BI484" s="281"/>
      <c r="BJ484" s="281"/>
      <c r="BK484" s="281"/>
      <c r="BL484" s="281"/>
      <c r="BM484" s="281"/>
      <c r="BN484" s="281"/>
      <c r="BO484" s="281"/>
      <c r="BP484" s="281"/>
      <c r="BQ484" s="281"/>
      <c r="BR484" s="281"/>
      <c r="BS484" s="281"/>
      <c r="BT484" s="281"/>
      <c r="BU484" s="281"/>
      <c r="BV484" s="281"/>
      <c r="BW484" s="281"/>
      <c r="BX484" s="281"/>
      <c r="BY484" s="281"/>
      <c r="BZ484" s="281"/>
    </row>
    <row r="485" spans="1:78" x14ac:dyDescent="0.2">
      <c r="A485" s="398"/>
      <c r="B485" s="286"/>
      <c r="C485" s="399"/>
      <c r="D485" s="391"/>
      <c r="E485" s="400"/>
      <c r="F485" s="400"/>
      <c r="G485" s="400"/>
      <c r="H485" s="431"/>
      <c r="I485" s="394"/>
      <c r="J485" s="431"/>
      <c r="K485" s="431"/>
      <c r="L485" s="431"/>
      <c r="M485" s="431"/>
      <c r="N485" s="400"/>
      <c r="O485" s="745"/>
      <c r="P485" s="745"/>
      <c r="Q485" s="745"/>
      <c r="R485" s="745"/>
      <c r="S485" s="745"/>
      <c r="T485" s="745"/>
      <c r="U485" s="745"/>
      <c r="V485" s="745"/>
      <c r="W485" s="745"/>
      <c r="X485" s="745"/>
      <c r="Y485" s="745"/>
      <c r="Z485" s="745"/>
      <c r="AA485" s="745"/>
      <c r="AB485" s="431"/>
      <c r="AC485" s="431"/>
      <c r="AD485" s="400"/>
      <c r="AE485" s="400"/>
      <c r="AF485" s="400"/>
      <c r="AG485" s="281"/>
      <c r="AH485" s="411"/>
      <c r="AI485" s="405"/>
      <c r="AJ485" s="405"/>
      <c r="AK485" s="405"/>
      <c r="AL485" s="405"/>
      <c r="AM485" s="405"/>
      <c r="AN485" s="405"/>
      <c r="AO485" s="405"/>
      <c r="AP485" s="258"/>
      <c r="AQ485" s="258"/>
      <c r="AR485" s="281"/>
      <c r="AS485" s="281"/>
      <c r="AT485" s="281"/>
      <c r="AU485" s="281"/>
      <c r="AV485" s="281"/>
      <c r="AW485" s="281"/>
      <c r="AX485" s="281"/>
      <c r="AY485" s="281"/>
      <c r="AZ485" s="281"/>
      <c r="BA485" s="281"/>
      <c r="BB485" s="281"/>
      <c r="BC485" s="281"/>
      <c r="BD485" s="281"/>
      <c r="BE485" s="281"/>
      <c r="BF485" s="281"/>
      <c r="BG485" s="281"/>
      <c r="BH485" s="281"/>
      <c r="BI485" s="281"/>
      <c r="BJ485" s="281"/>
      <c r="BK485" s="281"/>
      <c r="BL485" s="281"/>
      <c r="BM485" s="281"/>
      <c r="BN485" s="281"/>
      <c r="BO485" s="281"/>
      <c r="BP485" s="281"/>
      <c r="BQ485" s="281"/>
      <c r="BR485" s="281"/>
      <c r="BS485" s="281"/>
      <c r="BT485" s="281"/>
      <c r="BU485" s="281"/>
      <c r="BV485" s="281"/>
      <c r="BW485" s="281"/>
      <c r="BX485" s="281"/>
      <c r="BY485" s="281"/>
      <c r="BZ485" s="281"/>
    </row>
    <row r="486" spans="1:78" x14ac:dyDescent="0.2">
      <c r="A486" s="398"/>
      <c r="B486" s="286"/>
      <c r="C486" s="399"/>
      <c r="D486" s="391"/>
      <c r="E486" s="400"/>
      <c r="F486" s="400"/>
      <c r="G486" s="400"/>
      <c r="H486" s="431"/>
      <c r="I486" s="394"/>
      <c r="J486" s="431"/>
      <c r="K486" s="431"/>
      <c r="L486" s="431"/>
      <c r="M486" s="431"/>
      <c r="N486" s="400"/>
      <c r="O486" s="745"/>
      <c r="P486" s="745"/>
      <c r="Q486" s="745"/>
      <c r="R486" s="745"/>
      <c r="S486" s="745"/>
      <c r="T486" s="745"/>
      <c r="U486" s="745"/>
      <c r="V486" s="745"/>
      <c r="W486" s="745"/>
      <c r="X486" s="745"/>
      <c r="Y486" s="745"/>
      <c r="Z486" s="745"/>
      <c r="AA486" s="745"/>
      <c r="AB486" s="431"/>
      <c r="AC486" s="431"/>
      <c r="AD486" s="400"/>
      <c r="AE486" s="400"/>
      <c r="AF486" s="400"/>
      <c r="AG486" s="281"/>
      <c r="AH486" s="411"/>
      <c r="AI486" s="405"/>
      <c r="AJ486" s="405"/>
      <c r="AK486" s="405"/>
      <c r="AL486" s="405"/>
      <c r="AM486" s="405"/>
      <c r="AN486" s="405"/>
      <c r="AO486" s="405"/>
      <c r="AP486" s="258"/>
      <c r="AQ486" s="258"/>
      <c r="AR486" s="281"/>
      <c r="AS486" s="281"/>
      <c r="AT486" s="281"/>
      <c r="AU486" s="281"/>
      <c r="AV486" s="281"/>
      <c r="AW486" s="281"/>
      <c r="AX486" s="281"/>
      <c r="AY486" s="281"/>
      <c r="AZ486" s="281"/>
      <c r="BA486" s="281"/>
      <c r="BB486" s="281"/>
      <c r="BC486" s="281"/>
      <c r="BD486" s="281"/>
      <c r="BE486" s="281"/>
      <c r="BF486" s="281"/>
      <c r="BG486" s="281"/>
      <c r="BH486" s="281"/>
      <c r="BI486" s="281"/>
      <c r="BJ486" s="281"/>
      <c r="BK486" s="281"/>
      <c r="BL486" s="281"/>
      <c r="BM486" s="281"/>
      <c r="BN486" s="281"/>
      <c r="BO486" s="281"/>
      <c r="BP486" s="281"/>
      <c r="BQ486" s="281"/>
      <c r="BR486" s="281"/>
      <c r="BS486" s="281"/>
      <c r="BT486" s="281"/>
      <c r="BU486" s="281"/>
      <c r="BV486" s="281"/>
      <c r="BW486" s="281"/>
      <c r="BX486" s="281"/>
      <c r="BY486" s="281"/>
      <c r="BZ486" s="281"/>
    </row>
    <row r="487" spans="1:78" x14ac:dyDescent="0.2">
      <c r="A487" s="398"/>
      <c r="B487" s="286"/>
      <c r="C487" s="399"/>
      <c r="D487" s="391"/>
      <c r="E487" s="400"/>
      <c r="F487" s="400"/>
      <c r="G487" s="400"/>
      <c r="H487" s="431"/>
      <c r="I487" s="394"/>
      <c r="J487" s="431"/>
      <c r="K487" s="431"/>
      <c r="L487" s="431"/>
      <c r="M487" s="431"/>
      <c r="N487" s="400"/>
      <c r="O487" s="745"/>
      <c r="P487" s="745"/>
      <c r="Q487" s="745"/>
      <c r="R487" s="745"/>
      <c r="S487" s="745"/>
      <c r="T487" s="745"/>
      <c r="U487" s="745"/>
      <c r="V487" s="745"/>
      <c r="W487" s="745"/>
      <c r="X487" s="745"/>
      <c r="Y487" s="745"/>
      <c r="Z487" s="745"/>
      <c r="AA487" s="745"/>
      <c r="AB487" s="431"/>
      <c r="AC487" s="431"/>
      <c r="AD487" s="400"/>
      <c r="AE487" s="400"/>
      <c r="AF487" s="400"/>
      <c r="AG487" s="281"/>
      <c r="AH487" s="411"/>
      <c r="AI487" s="405"/>
      <c r="AJ487" s="405"/>
      <c r="AK487" s="405"/>
      <c r="AL487" s="405"/>
      <c r="AM487" s="405"/>
      <c r="AN487" s="405"/>
      <c r="AO487" s="405"/>
      <c r="AP487" s="258"/>
      <c r="AQ487" s="258"/>
      <c r="AR487" s="281"/>
      <c r="AS487" s="281"/>
      <c r="AT487" s="281"/>
      <c r="AU487" s="281"/>
      <c r="AV487" s="281"/>
      <c r="AW487" s="281"/>
      <c r="AX487" s="281"/>
      <c r="AY487" s="281"/>
      <c r="AZ487" s="281"/>
      <c r="BA487" s="281"/>
      <c r="BB487" s="281"/>
      <c r="BC487" s="281"/>
      <c r="BD487" s="281"/>
      <c r="BE487" s="281"/>
      <c r="BF487" s="281"/>
      <c r="BG487" s="281"/>
      <c r="BH487" s="281"/>
      <c r="BI487" s="281"/>
      <c r="BJ487" s="281"/>
      <c r="BK487" s="281"/>
      <c r="BL487" s="281"/>
      <c r="BM487" s="281"/>
      <c r="BN487" s="281"/>
      <c r="BO487" s="281"/>
      <c r="BP487" s="281"/>
      <c r="BQ487" s="281"/>
      <c r="BR487" s="281"/>
      <c r="BS487" s="281"/>
      <c r="BT487" s="281"/>
      <c r="BU487" s="281"/>
      <c r="BV487" s="281"/>
      <c r="BW487" s="281"/>
      <c r="BX487" s="281"/>
      <c r="BY487" s="281"/>
      <c r="BZ487" s="281"/>
    </row>
    <row r="488" spans="1:78" x14ac:dyDescent="0.2">
      <c r="A488" s="398"/>
      <c r="B488" s="286"/>
      <c r="C488" s="399"/>
      <c r="D488" s="391"/>
      <c r="E488" s="400"/>
      <c r="F488" s="400"/>
      <c r="G488" s="400"/>
      <c r="H488" s="431"/>
      <c r="I488" s="394"/>
      <c r="J488" s="431"/>
      <c r="K488" s="431"/>
      <c r="L488" s="431"/>
      <c r="M488" s="431"/>
      <c r="N488" s="400"/>
      <c r="O488" s="745"/>
      <c r="P488" s="745"/>
      <c r="Q488" s="745"/>
      <c r="R488" s="745"/>
      <c r="S488" s="745"/>
      <c r="T488" s="745"/>
      <c r="U488" s="745"/>
      <c r="V488" s="745"/>
      <c r="W488" s="745"/>
      <c r="X488" s="745"/>
      <c r="Y488" s="745"/>
      <c r="Z488" s="745"/>
      <c r="AA488" s="745"/>
      <c r="AB488" s="431"/>
      <c r="AC488" s="431"/>
      <c r="AD488" s="400"/>
      <c r="AE488" s="400"/>
      <c r="AF488" s="400"/>
      <c r="AG488" s="281"/>
      <c r="AH488" s="411"/>
      <c r="AI488" s="405"/>
      <c r="AJ488" s="405"/>
      <c r="AK488" s="405"/>
      <c r="AL488" s="405"/>
      <c r="AM488" s="405"/>
      <c r="AN488" s="405"/>
      <c r="AO488" s="405"/>
      <c r="AP488" s="258"/>
      <c r="AQ488" s="258"/>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c r="BM488" s="281"/>
      <c r="BN488" s="281"/>
      <c r="BO488" s="281"/>
      <c r="BP488" s="281"/>
      <c r="BQ488" s="281"/>
      <c r="BR488" s="281"/>
      <c r="BS488" s="281"/>
      <c r="BT488" s="281"/>
      <c r="BU488" s="281"/>
      <c r="BV488" s="281"/>
      <c r="BW488" s="281"/>
      <c r="BX488" s="281"/>
      <c r="BY488" s="281"/>
      <c r="BZ488" s="281"/>
    </row>
    <row r="489" spans="1:78" x14ac:dyDescent="0.2">
      <c r="A489" s="398"/>
      <c r="B489" s="286"/>
      <c r="C489" s="399"/>
      <c r="D489" s="391"/>
      <c r="E489" s="400"/>
      <c r="F489" s="400"/>
      <c r="G489" s="400"/>
      <c r="H489" s="431"/>
      <c r="I489" s="394"/>
      <c r="J489" s="431"/>
      <c r="K489" s="431"/>
      <c r="L489" s="431"/>
      <c r="M489" s="431"/>
      <c r="N489" s="400"/>
      <c r="O489" s="745"/>
      <c r="P489" s="745"/>
      <c r="Q489" s="745"/>
      <c r="R489" s="745"/>
      <c r="S489" s="745"/>
      <c r="T489" s="745"/>
      <c r="U489" s="745"/>
      <c r="V489" s="745"/>
      <c r="W489" s="745"/>
      <c r="X489" s="745"/>
      <c r="Y489" s="745"/>
      <c r="Z489" s="745"/>
      <c r="AA489" s="745"/>
      <c r="AB489" s="431"/>
      <c r="AC489" s="431"/>
      <c r="AD489" s="400"/>
      <c r="AE489" s="400"/>
      <c r="AF489" s="400"/>
      <c r="AG489" s="281"/>
      <c r="AH489" s="411"/>
      <c r="AI489" s="405"/>
      <c r="AJ489" s="405"/>
      <c r="AK489" s="405"/>
      <c r="AL489" s="405"/>
      <c r="AM489" s="405"/>
      <c r="AN489" s="405"/>
      <c r="AO489" s="405"/>
      <c r="AP489" s="258"/>
      <c r="AQ489" s="258"/>
      <c r="AR489" s="281"/>
      <c r="AS489" s="281"/>
      <c r="AT489" s="281"/>
      <c r="AU489" s="281"/>
      <c r="AV489" s="281"/>
      <c r="AW489" s="281"/>
      <c r="AX489" s="281"/>
      <c r="AY489" s="281"/>
      <c r="AZ489" s="281"/>
      <c r="BA489" s="281"/>
      <c r="BB489" s="281"/>
      <c r="BC489" s="281"/>
      <c r="BD489" s="281"/>
      <c r="BE489" s="281"/>
      <c r="BF489" s="281"/>
      <c r="BG489" s="281"/>
      <c r="BH489" s="281"/>
      <c r="BI489" s="281"/>
      <c r="BJ489" s="281"/>
      <c r="BK489" s="281"/>
      <c r="BL489" s="281"/>
      <c r="BM489" s="281"/>
      <c r="BN489" s="281"/>
      <c r="BO489" s="281"/>
      <c r="BP489" s="281"/>
      <c r="BQ489" s="281"/>
      <c r="BR489" s="281"/>
      <c r="BS489" s="281"/>
      <c r="BT489" s="281"/>
      <c r="BU489" s="281"/>
      <c r="BV489" s="281"/>
      <c r="BW489" s="281"/>
      <c r="BX489" s="281"/>
      <c r="BY489" s="281"/>
      <c r="BZ489" s="281"/>
    </row>
    <row r="490" spans="1:78" x14ac:dyDescent="0.2">
      <c r="A490" s="398"/>
      <c r="B490" s="286"/>
      <c r="C490" s="399"/>
      <c r="D490" s="391"/>
      <c r="E490" s="400"/>
      <c r="F490" s="400"/>
      <c r="G490" s="400"/>
      <c r="H490" s="431"/>
      <c r="I490" s="394"/>
      <c r="J490" s="431"/>
      <c r="K490" s="431"/>
      <c r="L490" s="431"/>
      <c r="M490" s="431"/>
      <c r="N490" s="400"/>
      <c r="O490" s="745"/>
      <c r="P490" s="745"/>
      <c r="Q490" s="745"/>
      <c r="R490" s="745"/>
      <c r="S490" s="745"/>
      <c r="T490" s="745"/>
      <c r="U490" s="745"/>
      <c r="V490" s="745"/>
      <c r="W490" s="745"/>
      <c r="X490" s="745"/>
      <c r="Y490" s="745"/>
      <c r="Z490" s="745"/>
      <c r="AA490" s="745"/>
      <c r="AB490" s="431"/>
      <c r="AC490" s="431"/>
      <c r="AD490" s="400"/>
      <c r="AE490" s="400"/>
      <c r="AF490" s="400"/>
      <c r="AG490" s="281"/>
      <c r="AH490" s="411"/>
      <c r="AI490" s="405"/>
      <c r="AJ490" s="405"/>
      <c r="AK490" s="405"/>
      <c r="AL490" s="405"/>
      <c r="AM490" s="405"/>
      <c r="AN490" s="405"/>
      <c r="AO490" s="405"/>
      <c r="AP490" s="258"/>
      <c r="AQ490" s="258"/>
      <c r="AR490" s="281"/>
      <c r="AS490" s="281"/>
      <c r="AT490" s="281"/>
      <c r="AU490" s="281"/>
      <c r="AV490" s="281"/>
      <c r="AW490" s="281"/>
      <c r="AX490" s="281"/>
      <c r="AY490" s="281"/>
      <c r="AZ490" s="281"/>
      <c r="BA490" s="281"/>
      <c r="BB490" s="281"/>
      <c r="BC490" s="281"/>
      <c r="BD490" s="281"/>
      <c r="BE490" s="281"/>
      <c r="BF490" s="281"/>
      <c r="BG490" s="281"/>
      <c r="BH490" s="281"/>
      <c r="BI490" s="281"/>
      <c r="BJ490" s="281"/>
      <c r="BK490" s="281"/>
      <c r="BL490" s="281"/>
      <c r="BM490" s="281"/>
      <c r="BN490" s="281"/>
      <c r="BO490" s="281"/>
      <c r="BP490" s="281"/>
      <c r="BQ490" s="281"/>
      <c r="BR490" s="281"/>
      <c r="BS490" s="281"/>
      <c r="BT490" s="281"/>
      <c r="BU490" s="281"/>
      <c r="BV490" s="281"/>
      <c r="BW490" s="281"/>
      <c r="BX490" s="281"/>
      <c r="BY490" s="281"/>
      <c r="BZ490" s="281"/>
    </row>
    <row r="491" spans="1:78" x14ac:dyDescent="0.2">
      <c r="A491" s="398"/>
      <c r="B491" s="286"/>
      <c r="C491" s="399"/>
      <c r="D491" s="391"/>
      <c r="E491" s="400"/>
      <c r="F491" s="400"/>
      <c r="G491" s="400"/>
      <c r="H491" s="431"/>
      <c r="I491" s="394"/>
      <c r="J491" s="431"/>
      <c r="K491" s="431"/>
      <c r="L491" s="431"/>
      <c r="M491" s="431"/>
      <c r="N491" s="400"/>
      <c r="O491" s="745"/>
      <c r="P491" s="745"/>
      <c r="Q491" s="745"/>
      <c r="R491" s="745"/>
      <c r="S491" s="745"/>
      <c r="T491" s="745"/>
      <c r="U491" s="745"/>
      <c r="V491" s="745"/>
      <c r="W491" s="745"/>
      <c r="X491" s="745"/>
      <c r="Y491" s="745"/>
      <c r="Z491" s="745"/>
      <c r="AA491" s="745"/>
      <c r="AB491" s="431"/>
      <c r="AC491" s="431"/>
      <c r="AD491" s="400"/>
      <c r="AE491" s="400"/>
      <c r="AF491" s="400"/>
      <c r="AG491" s="281"/>
      <c r="AH491" s="411"/>
      <c r="AI491" s="405"/>
      <c r="AJ491" s="405"/>
      <c r="AK491" s="405"/>
      <c r="AL491" s="405"/>
      <c r="AM491" s="405"/>
      <c r="AN491" s="405"/>
      <c r="AO491" s="405"/>
      <c r="AP491" s="258"/>
      <c r="AQ491" s="258"/>
      <c r="AR491" s="281"/>
      <c r="AS491" s="281"/>
      <c r="AT491" s="281"/>
      <c r="AU491" s="281"/>
      <c r="AV491" s="281"/>
      <c r="AW491" s="281"/>
      <c r="AX491" s="281"/>
      <c r="AY491" s="281"/>
      <c r="AZ491" s="281"/>
      <c r="BA491" s="281"/>
      <c r="BB491" s="281"/>
      <c r="BC491" s="281"/>
      <c r="BD491" s="281"/>
      <c r="BE491" s="281"/>
      <c r="BF491" s="281"/>
      <c r="BG491" s="281"/>
      <c r="BH491" s="281"/>
      <c r="BI491" s="281"/>
      <c r="BJ491" s="281"/>
      <c r="BK491" s="281"/>
      <c r="BL491" s="281"/>
      <c r="BM491" s="281"/>
      <c r="BN491" s="281"/>
      <c r="BO491" s="281"/>
      <c r="BP491" s="281"/>
      <c r="BQ491" s="281"/>
      <c r="BR491" s="281"/>
      <c r="BS491" s="281"/>
      <c r="BT491" s="281"/>
      <c r="BU491" s="281"/>
      <c r="BV491" s="281"/>
      <c r="BW491" s="281"/>
      <c r="BX491" s="281"/>
      <c r="BY491" s="281"/>
      <c r="BZ491" s="281"/>
    </row>
    <row r="492" spans="1:78" x14ac:dyDescent="0.2">
      <c r="A492" s="398"/>
      <c r="B492" s="286"/>
      <c r="C492" s="399"/>
      <c r="D492" s="391"/>
      <c r="E492" s="400"/>
      <c r="F492" s="400"/>
      <c r="G492" s="400"/>
      <c r="H492" s="431"/>
      <c r="I492" s="394"/>
      <c r="J492" s="431"/>
      <c r="K492" s="431"/>
      <c r="L492" s="431"/>
      <c r="M492" s="431"/>
      <c r="N492" s="400"/>
      <c r="O492" s="745"/>
      <c r="P492" s="745"/>
      <c r="Q492" s="745"/>
      <c r="R492" s="745"/>
      <c r="S492" s="745"/>
      <c r="T492" s="745"/>
      <c r="U492" s="745"/>
      <c r="V492" s="745"/>
      <c r="W492" s="745"/>
      <c r="X492" s="745"/>
      <c r="Y492" s="745"/>
      <c r="Z492" s="745"/>
      <c r="AA492" s="745"/>
      <c r="AB492" s="431"/>
      <c r="AC492" s="431"/>
      <c r="AD492" s="400"/>
      <c r="AE492" s="400"/>
      <c r="AF492" s="400"/>
      <c r="AG492" s="281"/>
      <c r="AH492" s="411"/>
      <c r="AI492" s="405"/>
      <c r="AJ492" s="405"/>
      <c r="AK492" s="405"/>
      <c r="AL492" s="405"/>
      <c r="AM492" s="405"/>
      <c r="AN492" s="405"/>
      <c r="AO492" s="405"/>
      <c r="AP492" s="258"/>
      <c r="AQ492" s="258"/>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c r="BM492" s="281"/>
      <c r="BN492" s="281"/>
      <c r="BO492" s="281"/>
      <c r="BP492" s="281"/>
      <c r="BQ492" s="281"/>
      <c r="BR492" s="281"/>
      <c r="BS492" s="281"/>
      <c r="BT492" s="281"/>
      <c r="BU492" s="281"/>
      <c r="BV492" s="281"/>
      <c r="BW492" s="281"/>
      <c r="BX492" s="281"/>
      <c r="BY492" s="281"/>
      <c r="BZ492" s="281"/>
    </row>
    <row r="493" spans="1:78" x14ac:dyDescent="0.2">
      <c r="A493" s="398"/>
      <c r="B493" s="286"/>
      <c r="C493" s="399"/>
      <c r="D493" s="391"/>
      <c r="E493" s="400"/>
      <c r="F493" s="400"/>
      <c r="G493" s="400"/>
      <c r="H493" s="431"/>
      <c r="I493" s="394"/>
      <c r="J493" s="431"/>
      <c r="K493" s="431"/>
      <c r="L493" s="431"/>
      <c r="M493" s="431"/>
      <c r="N493" s="400"/>
      <c r="O493" s="745"/>
      <c r="P493" s="745"/>
      <c r="Q493" s="745"/>
      <c r="R493" s="745"/>
      <c r="S493" s="745"/>
      <c r="T493" s="745"/>
      <c r="U493" s="745"/>
      <c r="V493" s="745"/>
      <c r="W493" s="745"/>
      <c r="X493" s="745"/>
      <c r="Y493" s="745"/>
      <c r="Z493" s="745"/>
      <c r="AA493" s="745"/>
      <c r="AB493" s="431"/>
      <c r="AC493" s="431"/>
      <c r="AD493" s="400"/>
      <c r="AE493" s="400"/>
      <c r="AF493" s="400"/>
      <c r="AG493" s="281"/>
      <c r="AH493" s="411"/>
      <c r="AI493" s="405"/>
      <c r="AJ493" s="405"/>
      <c r="AK493" s="405"/>
      <c r="AL493" s="405"/>
      <c r="AM493" s="405"/>
      <c r="AN493" s="405"/>
      <c r="AO493" s="405"/>
      <c r="AP493" s="258"/>
      <c r="AQ493" s="258"/>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row>
    <row r="494" spans="1:78" x14ac:dyDescent="0.2">
      <c r="A494" s="398"/>
      <c r="B494" s="286"/>
      <c r="C494" s="399"/>
      <c r="D494" s="391"/>
      <c r="E494" s="400"/>
      <c r="F494" s="400"/>
      <c r="G494" s="400"/>
      <c r="H494" s="431"/>
      <c r="I494" s="394"/>
      <c r="J494" s="431"/>
      <c r="K494" s="431"/>
      <c r="L494" s="431"/>
      <c r="M494" s="431"/>
      <c r="N494" s="400"/>
      <c r="O494" s="745"/>
      <c r="P494" s="745"/>
      <c r="Q494" s="745"/>
      <c r="R494" s="745"/>
      <c r="S494" s="745"/>
      <c r="T494" s="745"/>
      <c r="U494" s="745"/>
      <c r="V494" s="745"/>
      <c r="W494" s="745"/>
      <c r="X494" s="745"/>
      <c r="Y494" s="745"/>
      <c r="Z494" s="745"/>
      <c r="AA494" s="745"/>
      <c r="AB494" s="431"/>
      <c r="AC494" s="431"/>
      <c r="AD494" s="400"/>
      <c r="AE494" s="400"/>
      <c r="AF494" s="400"/>
      <c r="AG494" s="281"/>
      <c r="AH494" s="411"/>
      <c r="AI494" s="405"/>
      <c r="AJ494" s="405"/>
      <c r="AK494" s="405"/>
      <c r="AL494" s="405"/>
      <c r="AM494" s="405"/>
      <c r="AN494" s="405"/>
      <c r="AO494" s="405"/>
      <c r="AP494" s="258"/>
      <c r="AQ494" s="258"/>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row>
    <row r="495" spans="1:78" x14ac:dyDescent="0.2">
      <c r="A495" s="398"/>
      <c r="B495" s="286"/>
      <c r="C495" s="399"/>
      <c r="D495" s="391"/>
      <c r="E495" s="400"/>
      <c r="F495" s="400"/>
      <c r="G495" s="400"/>
      <c r="H495" s="431"/>
      <c r="I495" s="394"/>
      <c r="J495" s="431"/>
      <c r="K495" s="431"/>
      <c r="L495" s="431"/>
      <c r="M495" s="431"/>
      <c r="N495" s="400"/>
      <c r="O495" s="745"/>
      <c r="P495" s="745"/>
      <c r="Q495" s="745"/>
      <c r="R495" s="745"/>
      <c r="S495" s="745"/>
      <c r="T495" s="745"/>
      <c r="U495" s="745"/>
      <c r="V495" s="745"/>
      <c r="W495" s="745"/>
      <c r="X495" s="745"/>
      <c r="Y495" s="745"/>
      <c r="Z495" s="745"/>
      <c r="AA495" s="745"/>
      <c r="AB495" s="431"/>
      <c r="AC495" s="431"/>
      <c r="AD495" s="400"/>
      <c r="AE495" s="400"/>
      <c r="AF495" s="400"/>
      <c r="AG495" s="281"/>
      <c r="AH495" s="411"/>
      <c r="AI495" s="405"/>
      <c r="AJ495" s="405"/>
      <c r="AK495" s="405"/>
      <c r="AL495" s="405"/>
      <c r="AM495" s="405"/>
      <c r="AN495" s="405"/>
      <c r="AO495" s="405"/>
      <c r="AP495" s="258"/>
      <c r="AQ495" s="258"/>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row>
    <row r="496" spans="1:78" x14ac:dyDescent="0.2">
      <c r="A496" s="398"/>
      <c r="B496" s="286"/>
      <c r="C496" s="399"/>
      <c r="D496" s="391"/>
      <c r="E496" s="400"/>
      <c r="F496" s="400"/>
      <c r="G496" s="400"/>
      <c r="H496" s="431"/>
      <c r="I496" s="394"/>
      <c r="J496" s="431"/>
      <c r="K496" s="431"/>
      <c r="L496" s="431"/>
      <c r="M496" s="431"/>
      <c r="N496" s="400"/>
      <c r="O496" s="745"/>
      <c r="P496" s="745"/>
      <c r="Q496" s="745"/>
      <c r="R496" s="745"/>
      <c r="S496" s="745"/>
      <c r="T496" s="745"/>
      <c r="U496" s="745"/>
      <c r="V496" s="745"/>
      <c r="W496" s="745"/>
      <c r="X496" s="745"/>
      <c r="Y496" s="745"/>
      <c r="Z496" s="745"/>
      <c r="AA496" s="745"/>
      <c r="AB496" s="431"/>
      <c r="AC496" s="431"/>
      <c r="AD496" s="400"/>
      <c r="AE496" s="400"/>
      <c r="AF496" s="400"/>
      <c r="AG496" s="281"/>
      <c r="AH496" s="411"/>
      <c r="AI496" s="405"/>
      <c r="AJ496" s="405"/>
      <c r="AK496" s="405"/>
      <c r="AL496" s="405"/>
      <c r="AM496" s="405"/>
      <c r="AN496" s="405"/>
      <c r="AO496" s="405"/>
      <c r="AP496" s="258"/>
      <c r="AQ496" s="258"/>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row>
    <row r="497" spans="1:78" x14ac:dyDescent="0.2">
      <c r="A497" s="398"/>
      <c r="B497" s="286"/>
      <c r="C497" s="399"/>
      <c r="D497" s="391"/>
      <c r="E497" s="400"/>
      <c r="F497" s="400"/>
      <c r="G497" s="400"/>
      <c r="H497" s="431"/>
      <c r="I497" s="394"/>
      <c r="J497" s="431"/>
      <c r="K497" s="431"/>
      <c r="L497" s="431"/>
      <c r="M497" s="431"/>
      <c r="N497" s="400"/>
      <c r="O497" s="745"/>
      <c r="P497" s="745"/>
      <c r="Q497" s="745"/>
      <c r="R497" s="745"/>
      <c r="S497" s="745"/>
      <c r="T497" s="745"/>
      <c r="U497" s="745"/>
      <c r="V497" s="745"/>
      <c r="W497" s="745"/>
      <c r="X497" s="745"/>
      <c r="Y497" s="745"/>
      <c r="Z497" s="745"/>
      <c r="AA497" s="745"/>
      <c r="AB497" s="431"/>
      <c r="AC497" s="431"/>
      <c r="AD497" s="400"/>
      <c r="AE497" s="400"/>
      <c r="AF497" s="400"/>
      <c r="AG497" s="281"/>
      <c r="AH497" s="411"/>
      <c r="AI497" s="405"/>
      <c r="AJ497" s="405"/>
      <c r="AK497" s="405"/>
      <c r="AL497" s="405"/>
      <c r="AM497" s="405"/>
      <c r="AN497" s="405"/>
      <c r="AO497" s="405"/>
      <c r="AP497" s="258"/>
      <c r="AQ497" s="258"/>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row>
    <row r="498" spans="1:78" x14ac:dyDescent="0.2">
      <c r="A498" s="398"/>
      <c r="B498" s="286"/>
      <c r="C498" s="399"/>
      <c r="D498" s="391"/>
      <c r="E498" s="400"/>
      <c r="F498" s="400"/>
      <c r="G498" s="400"/>
      <c r="H498" s="431"/>
      <c r="I498" s="394"/>
      <c r="J498" s="431"/>
      <c r="K498" s="431"/>
      <c r="L498" s="431"/>
      <c r="M498" s="431"/>
      <c r="N498" s="400"/>
      <c r="O498" s="745"/>
      <c r="P498" s="745"/>
      <c r="Q498" s="745"/>
      <c r="R498" s="745"/>
      <c r="S498" s="745"/>
      <c r="T498" s="745"/>
      <c r="U498" s="745"/>
      <c r="V498" s="745"/>
      <c r="W498" s="745"/>
      <c r="X498" s="745"/>
      <c r="Y498" s="745"/>
      <c r="Z498" s="745"/>
      <c r="AA498" s="745"/>
      <c r="AB498" s="431"/>
      <c r="AC498" s="431"/>
      <c r="AD498" s="400"/>
      <c r="AE498" s="400"/>
      <c r="AF498" s="400"/>
      <c r="AG498" s="281"/>
      <c r="AH498" s="411"/>
      <c r="AI498" s="405"/>
      <c r="AJ498" s="405"/>
      <c r="AK498" s="405"/>
      <c r="AL498" s="405"/>
      <c r="AM498" s="405"/>
      <c r="AN498" s="405"/>
      <c r="AO498" s="405"/>
      <c r="AP498" s="258"/>
      <c r="AQ498" s="258"/>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row>
    <row r="499" spans="1:78" x14ac:dyDescent="0.2">
      <c r="A499" s="398"/>
      <c r="B499" s="286"/>
      <c r="C499" s="399"/>
      <c r="D499" s="391"/>
      <c r="E499" s="400"/>
      <c r="F499" s="400"/>
      <c r="G499" s="400"/>
      <c r="H499" s="431"/>
      <c r="I499" s="394"/>
      <c r="J499" s="431"/>
      <c r="K499" s="431"/>
      <c r="L499" s="431"/>
      <c r="M499" s="431"/>
      <c r="N499" s="400"/>
      <c r="O499" s="745"/>
      <c r="P499" s="745"/>
      <c r="Q499" s="745"/>
      <c r="R499" s="745"/>
      <c r="S499" s="745"/>
      <c r="T499" s="745"/>
      <c r="U499" s="745"/>
      <c r="V499" s="745"/>
      <c r="W499" s="745"/>
      <c r="X499" s="745"/>
      <c r="Y499" s="745"/>
      <c r="Z499" s="745"/>
      <c r="AA499" s="745"/>
      <c r="AB499" s="431"/>
      <c r="AC499" s="431"/>
      <c r="AD499" s="400"/>
      <c r="AE499" s="400"/>
      <c r="AF499" s="400"/>
      <c r="AG499" s="281"/>
      <c r="AH499" s="411"/>
      <c r="AI499" s="405"/>
      <c r="AJ499" s="405"/>
      <c r="AK499" s="405"/>
      <c r="AL499" s="405"/>
      <c r="AM499" s="405"/>
      <c r="AN499" s="405"/>
      <c r="AO499" s="405"/>
      <c r="AP499" s="258"/>
      <c r="AQ499" s="258"/>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c r="BM499" s="281"/>
      <c r="BN499" s="281"/>
      <c r="BO499" s="281"/>
      <c r="BP499" s="281"/>
      <c r="BQ499" s="281"/>
      <c r="BR499" s="281"/>
      <c r="BS499" s="281"/>
      <c r="BT499" s="281"/>
      <c r="BU499" s="281"/>
      <c r="BV499" s="281"/>
      <c r="BW499" s="281"/>
      <c r="BX499" s="281"/>
      <c r="BY499" s="281"/>
      <c r="BZ499" s="281"/>
    </row>
    <row r="500" spans="1:78" x14ac:dyDescent="0.2">
      <c r="A500" s="398"/>
      <c r="B500" s="286"/>
      <c r="C500" s="399"/>
      <c r="D500" s="391"/>
      <c r="E500" s="400"/>
      <c r="F500" s="400"/>
      <c r="G500" s="400"/>
      <c r="H500" s="431"/>
      <c r="I500" s="394"/>
      <c r="J500" s="431"/>
      <c r="K500" s="431"/>
      <c r="L500" s="431"/>
      <c r="M500" s="431"/>
      <c r="N500" s="400"/>
      <c r="O500" s="745"/>
      <c r="P500" s="745"/>
      <c r="Q500" s="745"/>
      <c r="R500" s="745"/>
      <c r="S500" s="745"/>
      <c r="T500" s="745"/>
      <c r="U500" s="745"/>
      <c r="V500" s="745"/>
      <c r="W500" s="745"/>
      <c r="X500" s="745"/>
      <c r="Y500" s="745"/>
      <c r="Z500" s="745"/>
      <c r="AA500" s="745"/>
      <c r="AB500" s="431"/>
      <c r="AC500" s="431"/>
      <c r="AD500" s="400"/>
      <c r="AE500" s="400"/>
      <c r="AF500" s="400"/>
      <c r="AG500" s="281"/>
      <c r="AH500" s="411"/>
      <c r="AI500" s="405"/>
      <c r="AJ500" s="405"/>
      <c r="AK500" s="405"/>
      <c r="AL500" s="405"/>
      <c r="AM500" s="405"/>
      <c r="AN500" s="405"/>
      <c r="AO500" s="405"/>
      <c r="AP500" s="258"/>
      <c r="AQ500" s="258"/>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row>
    <row r="501" spans="1:78" x14ac:dyDescent="0.2">
      <c r="A501" s="398"/>
      <c r="B501" s="286"/>
      <c r="C501" s="399"/>
      <c r="D501" s="391"/>
      <c r="E501" s="400"/>
      <c r="F501" s="400"/>
      <c r="G501" s="400"/>
      <c r="H501" s="431"/>
      <c r="I501" s="394"/>
      <c r="J501" s="431"/>
      <c r="K501" s="431"/>
      <c r="L501" s="431"/>
      <c r="M501" s="431"/>
      <c r="N501" s="400"/>
      <c r="O501" s="745"/>
      <c r="P501" s="745"/>
      <c r="Q501" s="745"/>
      <c r="R501" s="745"/>
      <c r="S501" s="745"/>
      <c r="T501" s="745"/>
      <c r="U501" s="745"/>
      <c r="V501" s="745"/>
      <c r="W501" s="745"/>
      <c r="X501" s="745"/>
      <c r="Y501" s="745"/>
      <c r="Z501" s="745"/>
      <c r="AA501" s="745"/>
      <c r="AB501" s="431"/>
      <c r="AC501" s="431"/>
      <c r="AD501" s="400"/>
      <c r="AE501" s="400"/>
      <c r="AF501" s="400"/>
      <c r="AG501" s="281"/>
      <c r="AH501" s="411"/>
      <c r="AI501" s="405"/>
      <c r="AJ501" s="405"/>
      <c r="AK501" s="405"/>
      <c r="AL501" s="405"/>
      <c r="AM501" s="405"/>
      <c r="AN501" s="405"/>
      <c r="AO501" s="405"/>
      <c r="AP501" s="258"/>
      <c r="AQ501" s="258"/>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row>
    <row r="502" spans="1:78" x14ac:dyDescent="0.2">
      <c r="A502" s="398"/>
      <c r="B502" s="286"/>
      <c r="C502" s="399"/>
      <c r="D502" s="391"/>
      <c r="E502" s="400"/>
      <c r="F502" s="400"/>
      <c r="G502" s="400"/>
      <c r="H502" s="431"/>
      <c r="I502" s="394"/>
      <c r="J502" s="431"/>
      <c r="K502" s="431"/>
      <c r="L502" s="431"/>
      <c r="M502" s="431"/>
      <c r="N502" s="400"/>
      <c r="O502" s="745"/>
      <c r="P502" s="745"/>
      <c r="Q502" s="745"/>
      <c r="R502" s="745"/>
      <c r="S502" s="745"/>
      <c r="T502" s="745"/>
      <c r="U502" s="745"/>
      <c r="V502" s="745"/>
      <c r="W502" s="745"/>
      <c r="X502" s="745"/>
      <c r="Y502" s="745"/>
      <c r="Z502" s="745"/>
      <c r="AA502" s="745"/>
      <c r="AB502" s="431"/>
      <c r="AC502" s="431"/>
      <c r="AD502" s="400"/>
      <c r="AE502" s="400"/>
      <c r="AF502" s="400"/>
      <c r="AG502" s="281"/>
      <c r="AH502" s="411"/>
      <c r="AI502" s="405"/>
      <c r="AJ502" s="405"/>
      <c r="AK502" s="405"/>
      <c r="AL502" s="405"/>
      <c r="AM502" s="405"/>
      <c r="AN502" s="405"/>
      <c r="AO502" s="405"/>
      <c r="AP502" s="258"/>
      <c r="AQ502" s="258"/>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row>
    <row r="503" spans="1:78" x14ac:dyDescent="0.2">
      <c r="A503" s="398"/>
      <c r="B503" s="286"/>
      <c r="C503" s="399"/>
      <c r="D503" s="391"/>
      <c r="E503" s="400"/>
      <c r="F503" s="400"/>
      <c r="G503" s="400"/>
      <c r="H503" s="431"/>
      <c r="I503" s="394"/>
      <c r="J503" s="431"/>
      <c r="K503" s="431"/>
      <c r="L503" s="431"/>
      <c r="M503" s="431"/>
      <c r="N503" s="400"/>
      <c r="O503" s="745"/>
      <c r="P503" s="745"/>
      <c r="Q503" s="745"/>
      <c r="R503" s="745"/>
      <c r="S503" s="745"/>
      <c r="T503" s="745"/>
      <c r="U503" s="745"/>
      <c r="V503" s="745"/>
      <c r="W503" s="745"/>
      <c r="X503" s="745"/>
      <c r="Y503" s="745"/>
      <c r="Z503" s="745"/>
      <c r="AA503" s="745"/>
      <c r="AB503" s="431"/>
      <c r="AC503" s="431"/>
      <c r="AD503" s="400"/>
      <c r="AE503" s="400"/>
      <c r="AF503" s="400"/>
      <c r="AG503" s="281"/>
      <c r="AH503" s="411"/>
      <c r="AI503" s="405"/>
      <c r="AJ503" s="405"/>
      <c r="AK503" s="405"/>
      <c r="AL503" s="405"/>
      <c r="AM503" s="405"/>
      <c r="AN503" s="405"/>
      <c r="AO503" s="405"/>
      <c r="AP503" s="258"/>
      <c r="AQ503" s="258"/>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row>
    <row r="504" spans="1:78" x14ac:dyDescent="0.2">
      <c r="A504" s="398"/>
      <c r="B504" s="286"/>
      <c r="C504" s="399"/>
      <c r="D504" s="391"/>
      <c r="E504" s="400"/>
      <c r="F504" s="400"/>
      <c r="G504" s="400"/>
      <c r="H504" s="431"/>
      <c r="I504" s="394"/>
      <c r="J504" s="431"/>
      <c r="K504" s="431"/>
      <c r="L504" s="431"/>
      <c r="M504" s="431"/>
      <c r="N504" s="400"/>
      <c r="O504" s="745"/>
      <c r="P504" s="745"/>
      <c r="Q504" s="745"/>
      <c r="R504" s="745"/>
      <c r="S504" s="745"/>
      <c r="T504" s="745"/>
      <c r="U504" s="745"/>
      <c r="V504" s="745"/>
      <c r="W504" s="745"/>
      <c r="X504" s="745"/>
      <c r="Y504" s="745"/>
      <c r="Z504" s="745"/>
      <c r="AA504" s="745"/>
      <c r="AB504" s="431"/>
      <c r="AC504" s="431"/>
      <c r="AD504" s="400"/>
      <c r="AE504" s="400"/>
      <c r="AF504" s="400"/>
      <c r="AG504" s="281"/>
      <c r="AH504" s="411"/>
      <c r="AI504" s="405"/>
      <c r="AJ504" s="405"/>
      <c r="AK504" s="405"/>
      <c r="AL504" s="405"/>
      <c r="AM504" s="405"/>
      <c r="AN504" s="405"/>
      <c r="AO504" s="405"/>
      <c r="AP504" s="258"/>
      <c r="AQ504" s="258"/>
      <c r="AR504" s="281"/>
      <c r="AS504" s="281"/>
      <c r="AT504" s="281"/>
      <c r="AU504" s="281"/>
      <c r="AV504" s="281"/>
      <c r="AW504" s="281"/>
      <c r="AX504" s="281"/>
      <c r="AY504" s="281"/>
      <c r="AZ504" s="281"/>
      <c r="BA504" s="281"/>
      <c r="BB504" s="281"/>
      <c r="BC504" s="281"/>
      <c r="BD504" s="281"/>
      <c r="BE504" s="281"/>
      <c r="BF504" s="281"/>
      <c r="BG504" s="281"/>
      <c r="BH504" s="281"/>
      <c r="BI504" s="281"/>
      <c r="BJ504" s="281"/>
      <c r="BK504" s="281"/>
      <c r="BL504" s="281"/>
      <c r="BM504" s="281"/>
      <c r="BN504" s="281"/>
      <c r="BO504" s="281"/>
      <c r="BP504" s="281"/>
      <c r="BQ504" s="281"/>
      <c r="BR504" s="281"/>
      <c r="BS504" s="281"/>
      <c r="BT504" s="281"/>
      <c r="BU504" s="281"/>
      <c r="BV504" s="281"/>
      <c r="BW504" s="281"/>
      <c r="BX504" s="281"/>
      <c r="BY504" s="281"/>
      <c r="BZ504" s="281"/>
    </row>
    <row r="505" spans="1:78" x14ac:dyDescent="0.2">
      <c r="A505" s="398"/>
      <c r="B505" s="286"/>
      <c r="C505" s="399"/>
      <c r="D505" s="391"/>
      <c r="E505" s="400"/>
      <c r="F505" s="400"/>
      <c r="G505" s="400"/>
      <c r="H505" s="431"/>
      <c r="I505" s="394"/>
      <c r="J505" s="431"/>
      <c r="K505" s="431"/>
      <c r="L505" s="431"/>
      <c r="M505" s="431"/>
      <c r="N505" s="400"/>
      <c r="O505" s="745"/>
      <c r="P505" s="745"/>
      <c r="Q505" s="745"/>
      <c r="R505" s="745"/>
      <c r="S505" s="745"/>
      <c r="T505" s="745"/>
      <c r="U505" s="745"/>
      <c r="V505" s="745"/>
      <c r="W505" s="745"/>
      <c r="X505" s="745"/>
      <c r="Y505" s="745"/>
      <c r="Z505" s="745"/>
      <c r="AA505" s="745"/>
      <c r="AB505" s="431"/>
      <c r="AC505" s="431"/>
      <c r="AD505" s="400"/>
      <c r="AE505" s="400"/>
      <c r="AF505" s="400"/>
      <c r="AG505" s="281"/>
      <c r="AH505" s="411"/>
      <c r="AI505" s="405"/>
      <c r="AJ505" s="405"/>
      <c r="AK505" s="405"/>
      <c r="AL505" s="405"/>
      <c r="AM505" s="405"/>
      <c r="AN505" s="405"/>
      <c r="AO505" s="405"/>
      <c r="AP505" s="258"/>
      <c r="AQ505" s="258"/>
      <c r="AR505" s="281"/>
      <c r="AS505" s="281"/>
      <c r="AT505" s="281"/>
      <c r="AU505" s="281"/>
      <c r="AV505" s="281"/>
      <c r="AW505" s="281"/>
      <c r="AX505" s="281"/>
      <c r="AY505" s="281"/>
      <c r="AZ505" s="281"/>
      <c r="BA505" s="281"/>
      <c r="BB505" s="281"/>
      <c r="BC505" s="281"/>
      <c r="BD505" s="281"/>
      <c r="BE505" s="281"/>
      <c r="BF505" s="281"/>
      <c r="BG505" s="281"/>
      <c r="BH505" s="281"/>
      <c r="BI505" s="281"/>
      <c r="BJ505" s="281"/>
      <c r="BK505" s="281"/>
      <c r="BL505" s="281"/>
      <c r="BM505" s="281"/>
      <c r="BN505" s="281"/>
      <c r="BO505" s="281"/>
      <c r="BP505" s="281"/>
      <c r="BQ505" s="281"/>
      <c r="BR505" s="281"/>
      <c r="BS505" s="281"/>
      <c r="BT505" s="281"/>
      <c r="BU505" s="281"/>
      <c r="BV505" s="281"/>
      <c r="BW505" s="281"/>
      <c r="BX505" s="281"/>
      <c r="BY505" s="281"/>
      <c r="BZ505" s="281"/>
    </row>
    <row r="506" spans="1:78" x14ac:dyDescent="0.2">
      <c r="A506" s="398"/>
      <c r="B506" s="286"/>
      <c r="C506" s="399"/>
      <c r="D506" s="391"/>
      <c r="E506" s="400"/>
      <c r="F506" s="400"/>
      <c r="G506" s="400"/>
      <c r="H506" s="431"/>
      <c r="I506" s="394"/>
      <c r="J506" s="431"/>
      <c r="K506" s="431"/>
      <c r="L506" s="431"/>
      <c r="M506" s="431"/>
      <c r="N506" s="400"/>
      <c r="O506" s="745"/>
      <c r="P506" s="745"/>
      <c r="Q506" s="745"/>
      <c r="R506" s="745"/>
      <c r="S506" s="745"/>
      <c r="T506" s="745"/>
      <c r="U506" s="745"/>
      <c r="V506" s="745"/>
      <c r="W506" s="745"/>
      <c r="X506" s="745"/>
      <c r="Y506" s="745"/>
      <c r="Z506" s="745"/>
      <c r="AA506" s="745"/>
      <c r="AB506" s="431"/>
      <c r="AC506" s="431"/>
      <c r="AD506" s="400"/>
      <c r="AE506" s="400"/>
      <c r="AF506" s="400"/>
      <c r="AG506" s="281"/>
      <c r="AH506" s="411"/>
      <c r="AI506" s="405"/>
      <c r="AJ506" s="405"/>
      <c r="AK506" s="405"/>
      <c r="AL506" s="405"/>
      <c r="AM506" s="405"/>
      <c r="AN506" s="405"/>
      <c r="AO506" s="405"/>
      <c r="AP506" s="258"/>
      <c r="AQ506" s="258"/>
      <c r="AR506" s="281"/>
      <c r="AS506" s="281"/>
      <c r="AT506" s="281"/>
      <c r="AU506" s="281"/>
      <c r="AV506" s="281"/>
      <c r="AW506" s="281"/>
      <c r="AX506" s="281"/>
      <c r="AY506" s="281"/>
      <c r="AZ506" s="281"/>
      <c r="BA506" s="281"/>
      <c r="BB506" s="281"/>
      <c r="BC506" s="281"/>
      <c r="BD506" s="281"/>
      <c r="BE506" s="281"/>
      <c r="BF506" s="281"/>
      <c r="BG506" s="281"/>
      <c r="BH506" s="281"/>
      <c r="BI506" s="281"/>
      <c r="BJ506" s="281"/>
      <c r="BK506" s="281"/>
      <c r="BL506" s="281"/>
      <c r="BM506" s="281"/>
      <c r="BN506" s="281"/>
      <c r="BO506" s="281"/>
      <c r="BP506" s="281"/>
      <c r="BQ506" s="281"/>
      <c r="BR506" s="281"/>
      <c r="BS506" s="281"/>
      <c r="BT506" s="281"/>
      <c r="BU506" s="281"/>
      <c r="BV506" s="281"/>
      <c r="BW506" s="281"/>
      <c r="BX506" s="281"/>
      <c r="BY506" s="281"/>
      <c r="BZ506" s="281"/>
    </row>
    <row r="507" spans="1:78" x14ac:dyDescent="0.2">
      <c r="A507" s="398"/>
      <c r="B507" s="286"/>
      <c r="C507" s="399"/>
      <c r="D507" s="391"/>
      <c r="E507" s="400"/>
      <c r="F507" s="400"/>
      <c r="G507" s="400"/>
      <c r="H507" s="431"/>
      <c r="I507" s="394"/>
      <c r="J507" s="431"/>
      <c r="K507" s="431"/>
      <c r="L507" s="431"/>
      <c r="M507" s="431"/>
      <c r="N507" s="400"/>
      <c r="O507" s="745"/>
      <c r="P507" s="745"/>
      <c r="Q507" s="745"/>
      <c r="R507" s="745"/>
      <c r="S507" s="745"/>
      <c r="T507" s="745"/>
      <c r="U507" s="745"/>
      <c r="V507" s="745"/>
      <c r="W507" s="745"/>
      <c r="X507" s="745"/>
      <c r="Y507" s="745"/>
      <c r="Z507" s="745"/>
      <c r="AA507" s="745"/>
      <c r="AB507" s="431"/>
      <c r="AC507" s="431"/>
      <c r="AD507" s="400"/>
      <c r="AE507" s="400"/>
      <c r="AF507" s="400"/>
      <c r="AG507" s="281"/>
      <c r="AH507" s="411"/>
      <c r="AI507" s="405"/>
      <c r="AJ507" s="405"/>
      <c r="AK507" s="405"/>
      <c r="AL507" s="405"/>
      <c r="AM507" s="405"/>
      <c r="AN507" s="405"/>
      <c r="AO507" s="405"/>
      <c r="AP507" s="258"/>
      <c r="AQ507" s="258"/>
      <c r="AR507" s="281"/>
      <c r="AS507" s="281"/>
      <c r="AT507" s="281"/>
      <c r="AU507" s="281"/>
      <c r="AV507" s="281"/>
      <c r="AW507" s="281"/>
      <c r="AX507" s="281"/>
      <c r="AY507" s="281"/>
      <c r="AZ507" s="281"/>
      <c r="BA507" s="281"/>
      <c r="BB507" s="281"/>
      <c r="BC507" s="281"/>
      <c r="BD507" s="281"/>
      <c r="BE507" s="281"/>
      <c r="BF507" s="281"/>
      <c r="BG507" s="281"/>
      <c r="BH507" s="281"/>
      <c r="BI507" s="281"/>
      <c r="BJ507" s="281"/>
      <c r="BK507" s="281"/>
      <c r="BL507" s="281"/>
      <c r="BM507" s="281"/>
      <c r="BN507" s="281"/>
      <c r="BO507" s="281"/>
      <c r="BP507" s="281"/>
      <c r="BQ507" s="281"/>
      <c r="BR507" s="281"/>
      <c r="BS507" s="281"/>
      <c r="BT507" s="281"/>
      <c r="BU507" s="281"/>
      <c r="BV507" s="281"/>
      <c r="BW507" s="281"/>
      <c r="BX507" s="281"/>
      <c r="BY507" s="281"/>
      <c r="BZ507" s="281"/>
    </row>
    <row r="508" spans="1:78" x14ac:dyDescent="0.2">
      <c r="A508" s="398"/>
      <c r="B508" s="286"/>
      <c r="C508" s="399"/>
      <c r="D508" s="391"/>
      <c r="E508" s="400"/>
      <c r="F508" s="400"/>
      <c r="G508" s="400"/>
      <c r="H508" s="431"/>
      <c r="I508" s="394"/>
      <c r="J508" s="431"/>
      <c r="K508" s="431"/>
      <c r="L508" s="431"/>
      <c r="M508" s="431"/>
      <c r="N508" s="400"/>
      <c r="O508" s="745"/>
      <c r="P508" s="745"/>
      <c r="Q508" s="745"/>
      <c r="R508" s="745"/>
      <c r="S508" s="745"/>
      <c r="T508" s="745"/>
      <c r="U508" s="745"/>
      <c r="V508" s="745"/>
      <c r="W508" s="745"/>
      <c r="X508" s="745"/>
      <c r="Y508" s="745"/>
      <c r="Z508" s="745"/>
      <c r="AA508" s="745"/>
      <c r="AB508" s="431"/>
      <c r="AC508" s="431"/>
      <c r="AD508" s="400"/>
      <c r="AE508" s="400"/>
      <c r="AF508" s="400"/>
      <c r="AG508" s="281"/>
      <c r="AH508" s="411"/>
      <c r="AI508" s="405"/>
      <c r="AJ508" s="405"/>
      <c r="AK508" s="405"/>
      <c r="AL508" s="405"/>
      <c r="AM508" s="405"/>
      <c r="AN508" s="405"/>
      <c r="AO508" s="405"/>
      <c r="AP508" s="258"/>
      <c r="AQ508" s="258"/>
      <c r="AR508" s="281"/>
      <c r="AS508" s="281"/>
      <c r="AT508" s="281"/>
      <c r="AU508" s="281"/>
      <c r="AV508" s="281"/>
      <c r="AW508" s="281"/>
      <c r="AX508" s="281"/>
      <c r="AY508" s="281"/>
      <c r="AZ508" s="281"/>
      <c r="BA508" s="281"/>
      <c r="BB508" s="281"/>
      <c r="BC508" s="281"/>
      <c r="BD508" s="281"/>
      <c r="BE508" s="281"/>
      <c r="BF508" s="281"/>
      <c r="BG508" s="281"/>
      <c r="BH508" s="281"/>
      <c r="BI508" s="281"/>
      <c r="BJ508" s="281"/>
      <c r="BK508" s="281"/>
      <c r="BL508" s="281"/>
      <c r="BM508" s="281"/>
      <c r="BN508" s="281"/>
      <c r="BO508" s="281"/>
      <c r="BP508" s="281"/>
      <c r="BQ508" s="281"/>
      <c r="BR508" s="281"/>
      <c r="BS508" s="281"/>
      <c r="BT508" s="281"/>
      <c r="BU508" s="281"/>
      <c r="BV508" s="281"/>
      <c r="BW508" s="281"/>
      <c r="BX508" s="281"/>
      <c r="BY508" s="281"/>
      <c r="BZ508" s="281"/>
    </row>
    <row r="509" spans="1:78" x14ac:dyDescent="0.2">
      <c r="A509" s="398"/>
      <c r="B509" s="286"/>
      <c r="C509" s="399"/>
      <c r="D509" s="391"/>
      <c r="E509" s="400"/>
      <c r="F509" s="400"/>
      <c r="G509" s="400"/>
      <c r="H509" s="431"/>
      <c r="I509" s="394"/>
      <c r="J509" s="431"/>
      <c r="K509" s="431"/>
      <c r="L509" s="431"/>
      <c r="M509" s="431"/>
      <c r="N509" s="400"/>
      <c r="O509" s="745"/>
      <c r="P509" s="745"/>
      <c r="Q509" s="745"/>
      <c r="R509" s="745"/>
      <c r="S509" s="745"/>
      <c r="T509" s="745"/>
      <c r="U509" s="745"/>
      <c r="V509" s="745"/>
      <c r="W509" s="745"/>
      <c r="X509" s="745"/>
      <c r="Y509" s="745"/>
      <c r="Z509" s="745"/>
      <c r="AA509" s="745"/>
      <c r="AB509" s="431"/>
      <c r="AC509" s="431"/>
      <c r="AD509" s="400"/>
      <c r="AE509" s="400"/>
      <c r="AF509" s="400"/>
      <c r="AG509" s="281"/>
      <c r="AH509" s="411"/>
      <c r="AI509" s="405"/>
      <c r="AJ509" s="405"/>
      <c r="AK509" s="405"/>
      <c r="AL509" s="405"/>
      <c r="AM509" s="405"/>
      <c r="AN509" s="405"/>
      <c r="AO509" s="405"/>
      <c r="AP509" s="258"/>
      <c r="AQ509" s="258"/>
      <c r="AR509" s="281"/>
      <c r="AS509" s="281"/>
      <c r="AT509" s="281"/>
      <c r="AU509" s="281"/>
      <c r="AV509" s="281"/>
      <c r="AW509" s="281"/>
      <c r="AX509" s="281"/>
      <c r="AY509" s="281"/>
      <c r="AZ509" s="281"/>
      <c r="BA509" s="281"/>
      <c r="BB509" s="281"/>
      <c r="BC509" s="281"/>
      <c r="BD509" s="281"/>
      <c r="BE509" s="281"/>
      <c r="BF509" s="281"/>
      <c r="BG509" s="281"/>
      <c r="BH509" s="281"/>
      <c r="BI509" s="281"/>
      <c r="BJ509" s="281"/>
      <c r="BK509" s="281"/>
      <c r="BL509" s="281"/>
      <c r="BM509" s="281"/>
      <c r="BN509" s="281"/>
      <c r="BO509" s="281"/>
      <c r="BP509" s="281"/>
      <c r="BQ509" s="281"/>
      <c r="BR509" s="281"/>
      <c r="BS509" s="281"/>
      <c r="BT509" s="281"/>
      <c r="BU509" s="281"/>
      <c r="BV509" s="281"/>
      <c r="BW509" s="281"/>
      <c r="BX509" s="281"/>
      <c r="BY509" s="281"/>
      <c r="BZ509" s="281"/>
    </row>
    <row r="510" spans="1:78" x14ac:dyDescent="0.2">
      <c r="A510" s="398"/>
      <c r="B510" s="286"/>
      <c r="C510" s="399"/>
      <c r="D510" s="391"/>
      <c r="E510" s="400"/>
      <c r="F510" s="400"/>
      <c r="G510" s="400"/>
      <c r="H510" s="431"/>
      <c r="I510" s="394"/>
      <c r="J510" s="431"/>
      <c r="K510" s="431"/>
      <c r="L510" s="431"/>
      <c r="M510" s="431"/>
      <c r="N510" s="400"/>
      <c r="O510" s="745"/>
      <c r="P510" s="745"/>
      <c r="Q510" s="745"/>
      <c r="R510" s="745"/>
      <c r="S510" s="745"/>
      <c r="T510" s="745"/>
      <c r="U510" s="745"/>
      <c r="V510" s="745"/>
      <c r="W510" s="745"/>
      <c r="X510" s="745"/>
      <c r="Y510" s="745"/>
      <c r="Z510" s="745"/>
      <c r="AA510" s="745"/>
      <c r="AB510" s="431"/>
      <c r="AC510" s="431"/>
      <c r="AD510" s="400"/>
      <c r="AE510" s="400"/>
      <c r="AF510" s="400"/>
      <c r="AG510" s="281"/>
      <c r="AH510" s="411"/>
      <c r="AI510" s="405"/>
      <c r="AJ510" s="405"/>
      <c r="AK510" s="405"/>
      <c r="AL510" s="405"/>
      <c r="AM510" s="405"/>
      <c r="AN510" s="405"/>
      <c r="AO510" s="405"/>
      <c r="AP510" s="258"/>
      <c r="AQ510" s="258"/>
      <c r="AR510" s="281"/>
      <c r="AS510" s="281"/>
      <c r="AT510" s="281"/>
      <c r="AU510" s="281"/>
      <c r="AV510" s="281"/>
      <c r="AW510" s="281"/>
      <c r="AX510" s="281"/>
      <c r="AY510" s="281"/>
      <c r="AZ510" s="281"/>
      <c r="BA510" s="281"/>
      <c r="BB510" s="281"/>
      <c r="BC510" s="281"/>
      <c r="BD510" s="281"/>
      <c r="BE510" s="281"/>
      <c r="BF510" s="281"/>
      <c r="BG510" s="281"/>
      <c r="BH510" s="281"/>
      <c r="BI510" s="281"/>
      <c r="BJ510" s="281"/>
      <c r="BK510" s="281"/>
      <c r="BL510" s="281"/>
      <c r="BM510" s="281"/>
      <c r="BN510" s="281"/>
      <c r="BO510" s="281"/>
      <c r="BP510" s="281"/>
      <c r="BQ510" s="281"/>
      <c r="BR510" s="281"/>
      <c r="BS510" s="281"/>
      <c r="BT510" s="281"/>
      <c r="BU510" s="281"/>
      <c r="BV510" s="281"/>
      <c r="BW510" s="281"/>
      <c r="BX510" s="281"/>
      <c r="BY510" s="281"/>
      <c r="BZ510" s="281"/>
    </row>
    <row r="511" spans="1:78" x14ac:dyDescent="0.2">
      <c r="A511" s="398"/>
      <c r="B511" s="286"/>
      <c r="C511" s="399"/>
      <c r="D511" s="391"/>
      <c r="E511" s="400"/>
      <c r="F511" s="400"/>
      <c r="G511" s="400"/>
      <c r="H511" s="431"/>
      <c r="I511" s="394"/>
      <c r="J511" s="431"/>
      <c r="K511" s="431"/>
      <c r="L511" s="431"/>
      <c r="M511" s="431"/>
      <c r="N511" s="400"/>
      <c r="O511" s="745"/>
      <c r="P511" s="745"/>
      <c r="Q511" s="745"/>
      <c r="R511" s="745"/>
      <c r="S511" s="745"/>
      <c r="T511" s="745"/>
      <c r="U511" s="745"/>
      <c r="V511" s="745"/>
      <c r="W511" s="745"/>
      <c r="X511" s="745"/>
      <c r="Y511" s="745"/>
      <c r="Z511" s="745"/>
      <c r="AA511" s="745"/>
      <c r="AB511" s="431"/>
      <c r="AC511" s="431"/>
      <c r="AD511" s="400"/>
      <c r="AE511" s="400"/>
      <c r="AF511" s="400"/>
      <c r="AG511" s="281"/>
      <c r="AH511" s="411"/>
      <c r="AI511" s="405"/>
      <c r="AJ511" s="405"/>
      <c r="AK511" s="405"/>
      <c r="AL511" s="405"/>
      <c r="AM511" s="405"/>
      <c r="AN511" s="405"/>
      <c r="AO511" s="405"/>
      <c r="AP511" s="258"/>
      <c r="AQ511" s="258"/>
      <c r="AR511" s="281"/>
      <c r="AS511" s="281"/>
      <c r="AT511" s="281"/>
      <c r="AU511" s="281"/>
      <c r="AV511" s="281"/>
      <c r="AW511" s="281"/>
      <c r="AX511" s="281"/>
      <c r="AY511" s="281"/>
      <c r="AZ511" s="281"/>
      <c r="BA511" s="281"/>
      <c r="BB511" s="281"/>
      <c r="BC511" s="281"/>
      <c r="BD511" s="281"/>
      <c r="BE511" s="281"/>
      <c r="BF511" s="281"/>
      <c r="BG511" s="281"/>
      <c r="BH511" s="281"/>
      <c r="BI511" s="281"/>
      <c r="BJ511" s="281"/>
      <c r="BK511" s="281"/>
      <c r="BL511" s="281"/>
      <c r="BM511" s="281"/>
      <c r="BN511" s="281"/>
      <c r="BO511" s="281"/>
      <c r="BP511" s="281"/>
      <c r="BQ511" s="281"/>
      <c r="BR511" s="281"/>
      <c r="BS511" s="281"/>
      <c r="BT511" s="281"/>
      <c r="BU511" s="281"/>
      <c r="BV511" s="281"/>
      <c r="BW511" s="281"/>
      <c r="BX511" s="281"/>
      <c r="BY511" s="281"/>
      <c r="BZ511" s="281"/>
    </row>
    <row r="512" spans="1:78" x14ac:dyDescent="0.2">
      <c r="A512" s="398"/>
      <c r="B512" s="286"/>
      <c r="C512" s="399"/>
      <c r="D512" s="391"/>
      <c r="E512" s="400"/>
      <c r="F512" s="400"/>
      <c r="G512" s="400"/>
      <c r="H512" s="431"/>
      <c r="I512" s="394"/>
      <c r="J512" s="431"/>
      <c r="K512" s="431"/>
      <c r="L512" s="431"/>
      <c r="M512" s="431"/>
      <c r="N512" s="400"/>
      <c r="O512" s="745"/>
      <c r="P512" s="745"/>
      <c r="Q512" s="745"/>
      <c r="R512" s="745"/>
      <c r="S512" s="745"/>
      <c r="T512" s="745"/>
      <c r="U512" s="745"/>
      <c r="V512" s="745"/>
      <c r="W512" s="745"/>
      <c r="X512" s="745"/>
      <c r="Y512" s="745"/>
      <c r="Z512" s="745"/>
      <c r="AA512" s="745"/>
      <c r="AB512" s="431"/>
      <c r="AC512" s="431"/>
      <c r="AD512" s="400"/>
      <c r="AE512" s="400"/>
      <c r="AF512" s="400"/>
      <c r="AG512" s="281"/>
      <c r="AH512" s="411"/>
      <c r="AI512" s="405"/>
      <c r="AJ512" s="405"/>
      <c r="AK512" s="405"/>
      <c r="AL512" s="405"/>
      <c r="AM512" s="405"/>
      <c r="AN512" s="405"/>
      <c r="AO512" s="405"/>
      <c r="AP512" s="258"/>
      <c r="AQ512" s="258"/>
      <c r="AR512" s="281"/>
      <c r="AS512" s="281"/>
      <c r="AT512" s="281"/>
      <c r="AU512" s="281"/>
      <c r="AV512" s="281"/>
      <c r="AW512" s="281"/>
      <c r="AX512" s="281"/>
      <c r="AY512" s="281"/>
      <c r="AZ512" s="281"/>
      <c r="BA512" s="281"/>
      <c r="BB512" s="281"/>
      <c r="BC512" s="281"/>
      <c r="BD512" s="281"/>
      <c r="BE512" s="281"/>
      <c r="BF512" s="281"/>
      <c r="BG512" s="281"/>
      <c r="BH512" s="281"/>
      <c r="BI512" s="281"/>
      <c r="BJ512" s="281"/>
      <c r="BK512" s="281"/>
      <c r="BL512" s="281"/>
      <c r="BM512" s="281"/>
      <c r="BN512" s="281"/>
      <c r="BO512" s="281"/>
      <c r="BP512" s="281"/>
      <c r="BQ512" s="281"/>
      <c r="BR512" s="281"/>
      <c r="BS512" s="281"/>
      <c r="BT512" s="281"/>
      <c r="BU512" s="281"/>
      <c r="BV512" s="281"/>
      <c r="BW512" s="281"/>
      <c r="BX512" s="281"/>
      <c r="BY512" s="281"/>
      <c r="BZ512" s="281"/>
    </row>
    <row r="513" spans="1:78" x14ac:dyDescent="0.2">
      <c r="A513" s="398"/>
      <c r="B513" s="286"/>
      <c r="C513" s="399"/>
      <c r="D513" s="391"/>
      <c r="E513" s="400"/>
      <c r="F513" s="400"/>
      <c r="G513" s="400"/>
      <c r="H513" s="431"/>
      <c r="I513" s="394"/>
      <c r="J513" s="431"/>
      <c r="K513" s="431"/>
      <c r="L513" s="431"/>
      <c r="M513" s="431"/>
      <c r="N513" s="400"/>
      <c r="O513" s="745"/>
      <c r="P513" s="745"/>
      <c r="Q513" s="745"/>
      <c r="R513" s="745"/>
      <c r="S513" s="745"/>
      <c r="T513" s="745"/>
      <c r="U513" s="745"/>
      <c r="V513" s="745"/>
      <c r="W513" s="745"/>
      <c r="X513" s="745"/>
      <c r="Y513" s="745"/>
      <c r="Z513" s="745"/>
      <c r="AA513" s="745"/>
      <c r="AB513" s="431"/>
      <c r="AC513" s="431"/>
      <c r="AD513" s="400"/>
      <c r="AE513" s="400"/>
      <c r="AF513" s="400"/>
      <c r="AG513" s="281"/>
      <c r="AH513" s="411"/>
      <c r="AI513" s="405"/>
      <c r="AJ513" s="405"/>
      <c r="AK513" s="405"/>
      <c r="AL513" s="405"/>
      <c r="AM513" s="405"/>
      <c r="AN513" s="405"/>
      <c r="AO513" s="405"/>
      <c r="AP513" s="258"/>
      <c r="AQ513" s="258"/>
      <c r="AR513" s="281"/>
      <c r="AS513" s="281"/>
      <c r="AT513" s="281"/>
      <c r="AU513" s="281"/>
      <c r="AV513" s="281"/>
      <c r="AW513" s="281"/>
      <c r="AX513" s="281"/>
      <c r="AY513" s="281"/>
      <c r="AZ513" s="281"/>
      <c r="BA513" s="281"/>
      <c r="BB513" s="281"/>
      <c r="BC513" s="281"/>
      <c r="BD513" s="281"/>
      <c r="BE513" s="281"/>
      <c r="BF513" s="281"/>
      <c r="BG513" s="281"/>
      <c r="BH513" s="281"/>
      <c r="BI513" s="281"/>
      <c r="BJ513" s="281"/>
      <c r="BK513" s="281"/>
      <c r="BL513" s="281"/>
      <c r="BM513" s="281"/>
      <c r="BN513" s="281"/>
      <c r="BO513" s="281"/>
      <c r="BP513" s="281"/>
      <c r="BQ513" s="281"/>
      <c r="BR513" s="281"/>
      <c r="BS513" s="281"/>
      <c r="BT513" s="281"/>
      <c r="BU513" s="281"/>
      <c r="BV513" s="281"/>
      <c r="BW513" s="281"/>
      <c r="BX513" s="281"/>
      <c r="BY513" s="281"/>
      <c r="BZ513" s="281"/>
    </row>
    <row r="514" spans="1:78" x14ac:dyDescent="0.2">
      <c r="A514" s="398"/>
      <c r="B514" s="286"/>
      <c r="C514" s="399"/>
      <c r="D514" s="391"/>
      <c r="E514" s="400"/>
      <c r="F514" s="400"/>
      <c r="G514" s="400"/>
      <c r="H514" s="431"/>
      <c r="I514" s="394"/>
      <c r="J514" s="431"/>
      <c r="K514" s="431"/>
      <c r="L514" s="431"/>
      <c r="M514" s="431"/>
      <c r="N514" s="400"/>
      <c r="O514" s="745"/>
      <c r="P514" s="745"/>
      <c r="Q514" s="745"/>
      <c r="R514" s="745"/>
      <c r="S514" s="745"/>
      <c r="T514" s="745"/>
      <c r="U514" s="745"/>
      <c r="V514" s="745"/>
      <c r="W514" s="745"/>
      <c r="X514" s="745"/>
      <c r="Y514" s="745"/>
      <c r="Z514" s="745"/>
      <c r="AA514" s="745"/>
      <c r="AB514" s="431"/>
      <c r="AC514" s="431"/>
      <c r="AD514" s="400"/>
      <c r="AE514" s="400"/>
      <c r="AF514" s="400"/>
      <c r="AG514" s="281"/>
      <c r="AH514" s="411"/>
      <c r="AI514" s="405"/>
      <c r="AJ514" s="405"/>
      <c r="AK514" s="405"/>
      <c r="AL514" s="405"/>
      <c r="AM514" s="405"/>
      <c r="AN514" s="405"/>
      <c r="AO514" s="405"/>
      <c r="AP514" s="258"/>
      <c r="AQ514" s="258"/>
      <c r="AR514" s="281"/>
      <c r="AS514" s="281"/>
      <c r="AT514" s="281"/>
      <c r="AU514" s="281"/>
      <c r="AV514" s="281"/>
      <c r="AW514" s="281"/>
      <c r="AX514" s="281"/>
      <c r="AY514" s="281"/>
      <c r="AZ514" s="281"/>
      <c r="BA514" s="281"/>
      <c r="BB514" s="281"/>
      <c r="BC514" s="281"/>
      <c r="BD514" s="281"/>
      <c r="BE514" s="281"/>
      <c r="BF514" s="281"/>
      <c r="BG514" s="281"/>
      <c r="BH514" s="281"/>
      <c r="BI514" s="281"/>
      <c r="BJ514" s="281"/>
      <c r="BK514" s="281"/>
      <c r="BL514" s="281"/>
      <c r="BM514" s="281"/>
      <c r="BN514" s="281"/>
      <c r="BO514" s="281"/>
      <c r="BP514" s="281"/>
      <c r="BQ514" s="281"/>
      <c r="BR514" s="281"/>
      <c r="BS514" s="281"/>
      <c r="BT514" s="281"/>
      <c r="BU514" s="281"/>
      <c r="BV514" s="281"/>
      <c r="BW514" s="281"/>
      <c r="BX514" s="281"/>
      <c r="BY514" s="281"/>
      <c r="BZ514" s="281"/>
    </row>
    <row r="515" spans="1:78" x14ac:dyDescent="0.2">
      <c r="A515" s="398"/>
      <c r="B515" s="286"/>
      <c r="C515" s="399"/>
      <c r="D515" s="391"/>
      <c r="E515" s="400"/>
      <c r="F515" s="400"/>
      <c r="G515" s="400"/>
      <c r="H515" s="431"/>
      <c r="I515" s="394"/>
      <c r="J515" s="431"/>
      <c r="K515" s="431"/>
      <c r="L515" s="431"/>
      <c r="M515" s="431"/>
      <c r="N515" s="400"/>
      <c r="O515" s="745"/>
      <c r="P515" s="745"/>
      <c r="Q515" s="745"/>
      <c r="R515" s="745"/>
      <c r="S515" s="745"/>
      <c r="T515" s="745"/>
      <c r="U515" s="745"/>
      <c r="V515" s="745"/>
      <c r="W515" s="745"/>
      <c r="X515" s="745"/>
      <c r="Y515" s="745"/>
      <c r="Z515" s="745"/>
      <c r="AA515" s="745"/>
      <c r="AB515" s="431"/>
      <c r="AC515" s="431"/>
      <c r="AD515" s="400"/>
      <c r="AE515" s="400"/>
      <c r="AF515" s="400"/>
      <c r="AG515" s="281"/>
      <c r="AH515" s="411"/>
      <c r="AI515" s="405"/>
      <c r="AJ515" s="405"/>
      <c r="AK515" s="405"/>
      <c r="AL515" s="405"/>
      <c r="AM515" s="405"/>
      <c r="AN515" s="405"/>
      <c r="AO515" s="405"/>
      <c r="AP515" s="258"/>
      <c r="AQ515" s="258"/>
      <c r="AR515" s="281"/>
      <c r="AS515" s="281"/>
      <c r="AT515" s="281"/>
      <c r="AU515" s="281"/>
      <c r="AV515" s="281"/>
      <c r="AW515" s="281"/>
      <c r="AX515" s="281"/>
      <c r="AY515" s="281"/>
      <c r="AZ515" s="281"/>
      <c r="BA515" s="281"/>
      <c r="BB515" s="281"/>
      <c r="BC515" s="281"/>
      <c r="BD515" s="281"/>
      <c r="BE515" s="281"/>
      <c r="BF515" s="281"/>
      <c r="BG515" s="281"/>
      <c r="BH515" s="281"/>
      <c r="BI515" s="281"/>
      <c r="BJ515" s="281"/>
      <c r="BK515" s="281"/>
      <c r="BL515" s="281"/>
      <c r="BM515" s="281"/>
      <c r="BN515" s="281"/>
      <c r="BO515" s="281"/>
      <c r="BP515" s="281"/>
      <c r="BQ515" s="281"/>
      <c r="BR515" s="281"/>
      <c r="BS515" s="281"/>
      <c r="BT515" s="281"/>
      <c r="BU515" s="281"/>
      <c r="BV515" s="281"/>
      <c r="BW515" s="281"/>
      <c r="BX515" s="281"/>
      <c r="BY515" s="281"/>
      <c r="BZ515" s="281"/>
    </row>
    <row r="516" spans="1:78" x14ac:dyDescent="0.2">
      <c r="A516" s="398"/>
      <c r="B516" s="286"/>
      <c r="C516" s="399"/>
      <c r="D516" s="391"/>
      <c r="E516" s="400"/>
      <c r="F516" s="400"/>
      <c r="G516" s="400"/>
      <c r="H516" s="431"/>
      <c r="I516" s="394"/>
      <c r="J516" s="431"/>
      <c r="K516" s="431"/>
      <c r="L516" s="431"/>
      <c r="M516" s="431"/>
      <c r="N516" s="400"/>
      <c r="O516" s="745"/>
      <c r="P516" s="745"/>
      <c r="Q516" s="745"/>
      <c r="R516" s="745"/>
      <c r="S516" s="745"/>
      <c r="T516" s="745"/>
      <c r="U516" s="745"/>
      <c r="V516" s="745"/>
      <c r="W516" s="745"/>
      <c r="X516" s="745"/>
      <c r="Y516" s="745"/>
      <c r="Z516" s="745"/>
      <c r="AA516" s="745"/>
      <c r="AB516" s="431"/>
      <c r="AC516" s="431"/>
      <c r="AD516" s="400"/>
      <c r="AE516" s="400"/>
      <c r="AF516" s="400"/>
      <c r="AG516" s="281"/>
      <c r="AH516" s="411"/>
      <c r="AI516" s="405"/>
      <c r="AJ516" s="405"/>
      <c r="AK516" s="405"/>
      <c r="AL516" s="405"/>
      <c r="AM516" s="405"/>
      <c r="AN516" s="405"/>
      <c r="AO516" s="405"/>
      <c r="AP516" s="258"/>
      <c r="AQ516" s="258"/>
      <c r="AR516" s="281"/>
      <c r="AS516" s="281"/>
      <c r="AT516" s="281"/>
      <c r="AU516" s="281"/>
      <c r="AV516" s="281"/>
      <c r="AW516" s="281"/>
      <c r="AX516" s="281"/>
      <c r="AY516" s="281"/>
      <c r="AZ516" s="281"/>
      <c r="BA516" s="281"/>
      <c r="BB516" s="281"/>
      <c r="BC516" s="281"/>
      <c r="BD516" s="281"/>
      <c r="BE516" s="281"/>
      <c r="BF516" s="281"/>
      <c r="BG516" s="281"/>
      <c r="BH516" s="281"/>
      <c r="BI516" s="281"/>
      <c r="BJ516" s="281"/>
      <c r="BK516" s="281"/>
      <c r="BL516" s="281"/>
      <c r="BM516" s="281"/>
      <c r="BN516" s="281"/>
      <c r="BO516" s="281"/>
      <c r="BP516" s="281"/>
      <c r="BQ516" s="281"/>
      <c r="BR516" s="281"/>
      <c r="BS516" s="281"/>
      <c r="BT516" s="281"/>
      <c r="BU516" s="281"/>
      <c r="BV516" s="281"/>
      <c r="BW516" s="281"/>
      <c r="BX516" s="281"/>
      <c r="BY516" s="281"/>
      <c r="BZ516" s="281"/>
    </row>
    <row r="517" spans="1:78" x14ac:dyDescent="0.2">
      <c r="A517" s="398"/>
      <c r="B517" s="286"/>
      <c r="C517" s="399"/>
      <c r="D517" s="391"/>
      <c r="E517" s="400"/>
      <c r="F517" s="400"/>
      <c r="G517" s="400"/>
      <c r="H517" s="431"/>
      <c r="I517" s="394"/>
      <c r="J517" s="431"/>
      <c r="K517" s="431"/>
      <c r="L517" s="431"/>
      <c r="M517" s="431"/>
      <c r="N517" s="400"/>
      <c r="O517" s="745"/>
      <c r="P517" s="745"/>
      <c r="Q517" s="745"/>
      <c r="R517" s="745"/>
      <c r="S517" s="745"/>
      <c r="T517" s="745"/>
      <c r="U517" s="745"/>
      <c r="V517" s="745"/>
      <c r="W517" s="745"/>
      <c r="X517" s="745"/>
      <c r="Y517" s="745"/>
      <c r="Z517" s="745"/>
      <c r="AA517" s="745"/>
      <c r="AB517" s="431"/>
      <c r="AC517" s="431"/>
      <c r="AD517" s="400"/>
      <c r="AE517" s="400"/>
      <c r="AF517" s="400"/>
      <c r="AG517" s="281"/>
      <c r="AH517" s="411"/>
      <c r="AI517" s="405"/>
      <c r="AJ517" s="405"/>
      <c r="AK517" s="405"/>
      <c r="AL517" s="405"/>
      <c r="AM517" s="405"/>
      <c r="AN517" s="405"/>
      <c r="AO517" s="405"/>
      <c r="AP517" s="258"/>
      <c r="AQ517" s="258"/>
      <c r="AR517" s="281"/>
      <c r="AS517" s="281"/>
      <c r="AT517" s="281"/>
      <c r="AU517" s="281"/>
      <c r="AV517" s="281"/>
      <c r="AW517" s="281"/>
      <c r="AX517" s="281"/>
      <c r="AY517" s="281"/>
      <c r="AZ517" s="281"/>
      <c r="BA517" s="281"/>
      <c r="BB517" s="281"/>
      <c r="BC517" s="281"/>
      <c r="BD517" s="281"/>
      <c r="BE517" s="281"/>
      <c r="BF517" s="281"/>
      <c r="BG517" s="281"/>
      <c r="BH517" s="281"/>
      <c r="BI517" s="281"/>
      <c r="BJ517" s="281"/>
      <c r="BK517" s="281"/>
      <c r="BL517" s="281"/>
      <c r="BM517" s="281"/>
      <c r="BN517" s="281"/>
      <c r="BO517" s="281"/>
      <c r="BP517" s="281"/>
      <c r="BQ517" s="281"/>
      <c r="BR517" s="281"/>
      <c r="BS517" s="281"/>
      <c r="BT517" s="281"/>
      <c r="BU517" s="281"/>
      <c r="BV517" s="281"/>
      <c r="BW517" s="281"/>
      <c r="BX517" s="281"/>
      <c r="BY517" s="281"/>
      <c r="BZ517" s="281"/>
    </row>
    <row r="518" spans="1:78" x14ac:dyDescent="0.2">
      <c r="A518" s="398"/>
      <c r="B518" s="286"/>
      <c r="C518" s="399"/>
      <c r="D518" s="391"/>
      <c r="E518" s="400"/>
      <c r="F518" s="400"/>
      <c r="G518" s="400"/>
      <c r="H518" s="431"/>
      <c r="I518" s="394"/>
      <c r="J518" s="431"/>
      <c r="K518" s="431"/>
      <c r="L518" s="431"/>
      <c r="M518" s="431"/>
      <c r="N518" s="400"/>
      <c r="O518" s="745"/>
      <c r="P518" s="745"/>
      <c r="Q518" s="745"/>
      <c r="R518" s="745"/>
      <c r="S518" s="745"/>
      <c r="T518" s="745"/>
      <c r="U518" s="745"/>
      <c r="V518" s="745"/>
      <c r="W518" s="745"/>
      <c r="X518" s="745"/>
      <c r="Y518" s="745"/>
      <c r="Z518" s="745"/>
      <c r="AA518" s="745"/>
      <c r="AB518" s="431"/>
      <c r="AC518" s="431"/>
      <c r="AD518" s="400"/>
      <c r="AE518" s="400"/>
      <c r="AF518" s="400"/>
      <c r="AG518" s="281"/>
      <c r="AH518" s="411"/>
      <c r="AI518" s="405"/>
      <c r="AJ518" s="405"/>
      <c r="AK518" s="405"/>
      <c r="AL518" s="405"/>
      <c r="AM518" s="405"/>
      <c r="AN518" s="405"/>
      <c r="AO518" s="405"/>
      <c r="AP518" s="258"/>
      <c r="AQ518" s="258"/>
      <c r="AR518" s="281"/>
      <c r="AS518" s="281"/>
      <c r="AT518" s="281"/>
      <c r="AU518" s="281"/>
      <c r="AV518" s="281"/>
      <c r="AW518" s="281"/>
      <c r="AX518" s="281"/>
      <c r="AY518" s="281"/>
      <c r="AZ518" s="281"/>
      <c r="BA518" s="281"/>
      <c r="BB518" s="281"/>
      <c r="BC518" s="281"/>
      <c r="BD518" s="281"/>
      <c r="BE518" s="281"/>
      <c r="BF518" s="281"/>
      <c r="BG518" s="281"/>
      <c r="BH518" s="281"/>
      <c r="BI518" s="281"/>
      <c r="BJ518" s="281"/>
      <c r="BK518" s="281"/>
      <c r="BL518" s="281"/>
      <c r="BM518" s="281"/>
      <c r="BN518" s="281"/>
      <c r="BO518" s="281"/>
      <c r="BP518" s="281"/>
      <c r="BQ518" s="281"/>
      <c r="BR518" s="281"/>
      <c r="BS518" s="281"/>
      <c r="BT518" s="281"/>
      <c r="BU518" s="281"/>
      <c r="BV518" s="281"/>
      <c r="BW518" s="281"/>
      <c r="BX518" s="281"/>
      <c r="BY518" s="281"/>
      <c r="BZ518" s="281"/>
    </row>
    <row r="519" spans="1:78" x14ac:dyDescent="0.2">
      <c r="A519" s="398"/>
      <c r="B519" s="286"/>
      <c r="C519" s="399"/>
      <c r="D519" s="391"/>
      <c r="E519" s="400"/>
      <c r="F519" s="400"/>
      <c r="G519" s="400"/>
      <c r="H519" s="431"/>
      <c r="I519" s="394"/>
      <c r="J519" s="431"/>
      <c r="K519" s="431"/>
      <c r="L519" s="431"/>
      <c r="M519" s="431"/>
      <c r="N519" s="400"/>
      <c r="O519" s="745"/>
      <c r="P519" s="745"/>
      <c r="Q519" s="745"/>
      <c r="R519" s="745"/>
      <c r="S519" s="745"/>
      <c r="T519" s="745"/>
      <c r="U519" s="745"/>
      <c r="V519" s="745"/>
      <c r="W519" s="745"/>
      <c r="X519" s="745"/>
      <c r="Y519" s="745"/>
      <c r="Z519" s="745"/>
      <c r="AA519" s="745"/>
      <c r="AB519" s="431"/>
      <c r="AC519" s="431"/>
      <c r="AD519" s="400"/>
      <c r="AE519" s="400"/>
      <c r="AF519" s="400"/>
      <c r="AG519" s="281"/>
      <c r="AH519" s="411"/>
      <c r="AI519" s="405"/>
      <c r="AJ519" s="405"/>
      <c r="AK519" s="405"/>
      <c r="AL519" s="405"/>
      <c r="AM519" s="405"/>
      <c r="AN519" s="405"/>
      <c r="AO519" s="405"/>
      <c r="AP519" s="258"/>
      <c r="AQ519" s="258"/>
      <c r="AR519" s="281"/>
      <c r="AS519" s="281"/>
      <c r="AT519" s="281"/>
      <c r="AU519" s="281"/>
      <c r="AV519" s="281"/>
      <c r="AW519" s="281"/>
      <c r="AX519" s="281"/>
      <c r="AY519" s="281"/>
      <c r="AZ519" s="281"/>
      <c r="BA519" s="281"/>
      <c r="BB519" s="281"/>
      <c r="BC519" s="281"/>
      <c r="BD519" s="281"/>
      <c r="BE519" s="281"/>
      <c r="BF519" s="281"/>
      <c r="BG519" s="281"/>
      <c r="BH519" s="281"/>
      <c r="BI519" s="281"/>
      <c r="BJ519" s="281"/>
      <c r="BK519" s="281"/>
      <c r="BL519" s="281"/>
      <c r="BM519" s="281"/>
      <c r="BN519" s="281"/>
      <c r="BO519" s="281"/>
      <c r="BP519" s="281"/>
      <c r="BQ519" s="281"/>
      <c r="BR519" s="281"/>
      <c r="BS519" s="281"/>
      <c r="BT519" s="281"/>
      <c r="BU519" s="281"/>
      <c r="BV519" s="281"/>
      <c r="BW519" s="281"/>
      <c r="BX519" s="281"/>
      <c r="BY519" s="281"/>
      <c r="BZ519" s="281"/>
    </row>
    <row r="520" spans="1:78" x14ac:dyDescent="0.2">
      <c r="A520" s="398"/>
      <c r="B520" s="286"/>
      <c r="C520" s="399"/>
      <c r="D520" s="391"/>
      <c r="E520" s="400"/>
      <c r="F520" s="400"/>
      <c r="G520" s="400"/>
      <c r="H520" s="431"/>
      <c r="I520" s="394"/>
      <c r="J520" s="431"/>
      <c r="K520" s="431"/>
      <c r="L520" s="431"/>
      <c r="M520" s="431"/>
      <c r="N520" s="400"/>
      <c r="O520" s="745"/>
      <c r="P520" s="745"/>
      <c r="Q520" s="745"/>
      <c r="R520" s="745"/>
      <c r="S520" s="745"/>
      <c r="T520" s="745"/>
      <c r="U520" s="745"/>
      <c r="V520" s="745"/>
      <c r="W520" s="745"/>
      <c r="X520" s="745"/>
      <c r="Y520" s="745"/>
      <c r="Z520" s="745"/>
      <c r="AA520" s="745"/>
      <c r="AB520" s="431"/>
      <c r="AC520" s="431"/>
      <c r="AD520" s="400"/>
      <c r="AE520" s="400"/>
      <c r="AF520" s="400"/>
      <c r="AG520" s="281"/>
      <c r="AH520" s="411"/>
      <c r="AI520" s="405"/>
      <c r="AJ520" s="405"/>
      <c r="AK520" s="405"/>
      <c r="AL520" s="405"/>
      <c r="AM520" s="405"/>
      <c r="AN520" s="405"/>
      <c r="AO520" s="405"/>
      <c r="AP520" s="258"/>
      <c r="AQ520" s="258"/>
      <c r="AR520" s="281"/>
      <c r="AS520" s="281"/>
      <c r="AT520" s="281"/>
      <c r="AU520" s="281"/>
      <c r="AV520" s="281"/>
      <c r="AW520" s="281"/>
      <c r="AX520" s="281"/>
      <c r="AY520" s="281"/>
      <c r="AZ520" s="281"/>
      <c r="BA520" s="281"/>
      <c r="BB520" s="281"/>
      <c r="BC520" s="281"/>
      <c r="BD520" s="281"/>
      <c r="BE520" s="281"/>
      <c r="BF520" s="281"/>
      <c r="BG520" s="281"/>
      <c r="BH520" s="281"/>
      <c r="BI520" s="281"/>
      <c r="BJ520" s="281"/>
      <c r="BK520" s="281"/>
      <c r="BL520" s="281"/>
      <c r="BM520" s="281"/>
      <c r="BN520" s="281"/>
      <c r="BO520" s="281"/>
      <c r="BP520" s="281"/>
      <c r="BQ520" s="281"/>
      <c r="BR520" s="281"/>
      <c r="BS520" s="281"/>
      <c r="BT520" s="281"/>
      <c r="BU520" s="281"/>
      <c r="BV520" s="281"/>
      <c r="BW520" s="281"/>
      <c r="BX520" s="281"/>
      <c r="BY520" s="281"/>
      <c r="BZ520" s="281"/>
    </row>
    <row r="521" spans="1:78" x14ac:dyDescent="0.2">
      <c r="A521" s="398"/>
      <c r="B521" s="286"/>
      <c r="C521" s="399"/>
      <c r="D521" s="391"/>
      <c r="E521" s="400"/>
      <c r="F521" s="400"/>
      <c r="G521" s="400"/>
      <c r="H521" s="431"/>
      <c r="I521" s="394"/>
      <c r="J521" s="431"/>
      <c r="K521" s="431"/>
      <c r="L521" s="431"/>
      <c r="M521" s="431"/>
      <c r="N521" s="400"/>
      <c r="O521" s="745"/>
      <c r="P521" s="745"/>
      <c r="Q521" s="745"/>
      <c r="R521" s="745"/>
      <c r="S521" s="745"/>
      <c r="T521" s="745"/>
      <c r="U521" s="745"/>
      <c r="V521" s="745"/>
      <c r="W521" s="745"/>
      <c r="X521" s="745"/>
      <c r="Y521" s="745"/>
      <c r="Z521" s="745"/>
      <c r="AA521" s="745"/>
      <c r="AB521" s="431"/>
      <c r="AC521" s="431"/>
      <c r="AD521" s="400"/>
      <c r="AE521" s="400"/>
      <c r="AF521" s="400"/>
      <c r="AG521" s="281"/>
      <c r="AH521" s="411"/>
      <c r="AI521" s="405"/>
      <c r="AJ521" s="405"/>
      <c r="AK521" s="405"/>
      <c r="AL521" s="405"/>
      <c r="AM521" s="405"/>
      <c r="AN521" s="405"/>
      <c r="AO521" s="405"/>
      <c r="AP521" s="258"/>
      <c r="AQ521" s="258"/>
      <c r="AR521" s="281"/>
      <c r="AS521" s="281"/>
      <c r="AT521" s="281"/>
      <c r="AU521" s="281"/>
      <c r="AV521" s="281"/>
      <c r="AW521" s="281"/>
      <c r="AX521" s="281"/>
      <c r="AY521" s="281"/>
      <c r="AZ521" s="281"/>
      <c r="BA521" s="281"/>
      <c r="BB521" s="281"/>
      <c r="BC521" s="281"/>
      <c r="BD521" s="281"/>
      <c r="BE521" s="281"/>
      <c r="BF521" s="281"/>
      <c r="BG521" s="281"/>
      <c r="BH521" s="281"/>
      <c r="BI521" s="281"/>
      <c r="BJ521" s="281"/>
      <c r="BK521" s="281"/>
      <c r="BL521" s="281"/>
      <c r="BM521" s="281"/>
      <c r="BN521" s="281"/>
      <c r="BO521" s="281"/>
      <c r="BP521" s="281"/>
      <c r="BQ521" s="281"/>
      <c r="BR521" s="281"/>
      <c r="BS521" s="281"/>
      <c r="BT521" s="281"/>
      <c r="BU521" s="281"/>
      <c r="BV521" s="281"/>
      <c r="BW521" s="281"/>
      <c r="BX521" s="281"/>
      <c r="BY521" s="281"/>
      <c r="BZ521" s="281"/>
    </row>
    <row r="522" spans="1:78" x14ac:dyDescent="0.2">
      <c r="A522" s="398"/>
      <c r="B522" s="286"/>
      <c r="C522" s="399"/>
      <c r="D522" s="391"/>
      <c r="E522" s="400"/>
      <c r="F522" s="400"/>
      <c r="G522" s="400"/>
      <c r="H522" s="431"/>
      <c r="I522" s="394"/>
      <c r="J522" s="431"/>
      <c r="K522" s="431"/>
      <c r="L522" s="431"/>
      <c r="M522" s="431"/>
      <c r="N522" s="400"/>
      <c r="O522" s="745"/>
      <c r="P522" s="745"/>
      <c r="Q522" s="745"/>
      <c r="R522" s="745"/>
      <c r="S522" s="745"/>
      <c r="T522" s="745"/>
      <c r="U522" s="745"/>
      <c r="V522" s="745"/>
      <c r="W522" s="745"/>
      <c r="X522" s="745"/>
      <c r="Y522" s="745"/>
      <c r="Z522" s="745"/>
      <c r="AA522" s="745"/>
      <c r="AB522" s="431"/>
      <c r="AC522" s="431"/>
      <c r="AD522" s="400"/>
      <c r="AE522" s="400"/>
      <c r="AF522" s="400"/>
      <c r="AG522" s="281"/>
      <c r="AH522" s="411"/>
      <c r="AI522" s="405"/>
      <c r="AJ522" s="405"/>
      <c r="AK522" s="405"/>
      <c r="AL522" s="405"/>
      <c r="AM522" s="405"/>
      <c r="AN522" s="405"/>
      <c r="AO522" s="405"/>
      <c r="AP522" s="258"/>
      <c r="AQ522" s="258"/>
      <c r="AR522" s="281"/>
      <c r="AS522" s="281"/>
      <c r="AT522" s="281"/>
      <c r="AU522" s="281"/>
      <c r="AV522" s="281"/>
      <c r="AW522" s="281"/>
      <c r="AX522" s="281"/>
      <c r="AY522" s="281"/>
      <c r="AZ522" s="281"/>
      <c r="BA522" s="281"/>
      <c r="BB522" s="281"/>
      <c r="BC522" s="281"/>
      <c r="BD522" s="281"/>
      <c r="BE522" s="281"/>
      <c r="BF522" s="281"/>
      <c r="BG522" s="281"/>
      <c r="BH522" s="281"/>
      <c r="BI522" s="281"/>
      <c r="BJ522" s="281"/>
      <c r="BK522" s="281"/>
      <c r="BL522" s="281"/>
      <c r="BM522" s="281"/>
      <c r="BN522" s="281"/>
      <c r="BO522" s="281"/>
      <c r="BP522" s="281"/>
      <c r="BQ522" s="281"/>
      <c r="BR522" s="281"/>
      <c r="BS522" s="281"/>
      <c r="BT522" s="281"/>
      <c r="BU522" s="281"/>
      <c r="BV522" s="281"/>
      <c r="BW522" s="281"/>
      <c r="BX522" s="281"/>
      <c r="BY522" s="281"/>
      <c r="BZ522" s="281"/>
    </row>
    <row r="523" spans="1:78" x14ac:dyDescent="0.2">
      <c r="A523" s="398"/>
      <c r="B523" s="286"/>
      <c r="C523" s="399"/>
      <c r="D523" s="391"/>
      <c r="E523" s="400"/>
      <c r="F523" s="400"/>
      <c r="G523" s="400"/>
      <c r="H523" s="431"/>
      <c r="I523" s="394"/>
      <c r="J523" s="431"/>
      <c r="K523" s="431"/>
      <c r="L523" s="431"/>
      <c r="M523" s="431"/>
      <c r="N523" s="400"/>
      <c r="O523" s="745"/>
      <c r="P523" s="745"/>
      <c r="Q523" s="745"/>
      <c r="R523" s="745"/>
      <c r="S523" s="745"/>
      <c r="T523" s="745"/>
      <c r="U523" s="745"/>
      <c r="V523" s="745"/>
      <c r="W523" s="745"/>
      <c r="X523" s="745"/>
      <c r="Y523" s="745"/>
      <c r="Z523" s="745"/>
      <c r="AA523" s="745"/>
      <c r="AB523" s="431"/>
      <c r="AC523" s="431"/>
      <c r="AD523" s="400"/>
      <c r="AE523" s="400"/>
      <c r="AF523" s="400"/>
      <c r="AG523" s="281"/>
      <c r="AH523" s="411"/>
      <c r="AI523" s="405"/>
      <c r="AJ523" s="405"/>
      <c r="AK523" s="405"/>
      <c r="AL523" s="405"/>
      <c r="AM523" s="405"/>
      <c r="AN523" s="405"/>
      <c r="AO523" s="405"/>
      <c r="AP523" s="258"/>
      <c r="AQ523" s="258"/>
      <c r="AR523" s="281"/>
      <c r="AS523" s="281"/>
      <c r="AT523" s="281"/>
      <c r="AU523" s="281"/>
      <c r="AV523" s="281"/>
      <c r="AW523" s="281"/>
      <c r="AX523" s="281"/>
      <c r="AY523" s="281"/>
      <c r="AZ523" s="281"/>
      <c r="BA523" s="281"/>
      <c r="BB523" s="281"/>
      <c r="BC523" s="281"/>
      <c r="BD523" s="281"/>
      <c r="BE523" s="281"/>
      <c r="BF523" s="281"/>
      <c r="BG523" s="281"/>
      <c r="BH523" s="281"/>
      <c r="BI523" s="281"/>
      <c r="BJ523" s="281"/>
      <c r="BK523" s="281"/>
      <c r="BL523" s="281"/>
      <c r="BM523" s="281"/>
      <c r="BN523" s="281"/>
      <c r="BO523" s="281"/>
      <c r="BP523" s="281"/>
      <c r="BQ523" s="281"/>
      <c r="BR523" s="281"/>
      <c r="BS523" s="281"/>
      <c r="BT523" s="281"/>
      <c r="BU523" s="281"/>
      <c r="BV523" s="281"/>
      <c r="BW523" s="281"/>
      <c r="BX523" s="281"/>
      <c r="BY523" s="281"/>
      <c r="BZ523" s="281"/>
    </row>
    <row r="524" spans="1:78" x14ac:dyDescent="0.2">
      <c r="A524" s="398"/>
      <c r="B524" s="286"/>
      <c r="C524" s="399"/>
      <c r="D524" s="391"/>
      <c r="E524" s="400"/>
      <c r="F524" s="400"/>
      <c r="G524" s="400"/>
      <c r="H524" s="431"/>
      <c r="I524" s="394"/>
      <c r="J524" s="431"/>
      <c r="K524" s="431"/>
      <c r="L524" s="431"/>
      <c r="M524" s="431"/>
      <c r="N524" s="400"/>
      <c r="O524" s="745"/>
      <c r="P524" s="745"/>
      <c r="Q524" s="745"/>
      <c r="R524" s="745"/>
      <c r="S524" s="745"/>
      <c r="T524" s="745"/>
      <c r="U524" s="745"/>
      <c r="V524" s="745"/>
      <c r="W524" s="745"/>
      <c r="X524" s="745"/>
      <c r="Y524" s="745"/>
      <c r="Z524" s="745"/>
      <c r="AA524" s="745"/>
      <c r="AB524" s="431"/>
      <c r="AC524" s="431"/>
      <c r="AD524" s="400"/>
      <c r="AE524" s="400"/>
      <c r="AF524" s="400"/>
      <c r="AG524" s="281"/>
      <c r="AH524" s="411"/>
      <c r="AI524" s="405"/>
      <c r="AJ524" s="405"/>
      <c r="AK524" s="405"/>
      <c r="AL524" s="405"/>
      <c r="AM524" s="405"/>
      <c r="AN524" s="405"/>
      <c r="AO524" s="405"/>
      <c r="AP524" s="258"/>
      <c r="AQ524" s="258"/>
      <c r="AR524" s="281"/>
      <c r="AS524" s="281"/>
      <c r="AT524" s="281"/>
      <c r="AU524" s="281"/>
      <c r="AV524" s="281"/>
      <c r="AW524" s="281"/>
      <c r="AX524" s="281"/>
      <c r="AY524" s="281"/>
      <c r="AZ524" s="281"/>
      <c r="BA524" s="281"/>
      <c r="BB524" s="281"/>
      <c r="BC524" s="281"/>
      <c r="BD524" s="281"/>
      <c r="BE524" s="281"/>
      <c r="BF524" s="281"/>
      <c r="BG524" s="281"/>
      <c r="BH524" s="281"/>
      <c r="BI524" s="281"/>
      <c r="BJ524" s="281"/>
      <c r="BK524" s="281"/>
      <c r="BL524" s="281"/>
      <c r="BM524" s="281"/>
      <c r="BN524" s="281"/>
      <c r="BO524" s="281"/>
      <c r="BP524" s="281"/>
      <c r="BQ524" s="281"/>
      <c r="BR524" s="281"/>
      <c r="BS524" s="281"/>
      <c r="BT524" s="281"/>
      <c r="BU524" s="281"/>
      <c r="BV524" s="281"/>
      <c r="BW524" s="281"/>
      <c r="BX524" s="281"/>
      <c r="BY524" s="281"/>
      <c r="BZ524" s="281"/>
    </row>
    <row r="525" spans="1:78" x14ac:dyDescent="0.2">
      <c r="A525" s="398"/>
      <c r="B525" s="286"/>
      <c r="C525" s="399"/>
      <c r="D525" s="391"/>
      <c r="E525" s="400"/>
      <c r="F525" s="400"/>
      <c r="G525" s="400"/>
      <c r="H525" s="431"/>
      <c r="I525" s="394"/>
      <c r="J525" s="431"/>
      <c r="K525" s="431"/>
      <c r="L525" s="431"/>
      <c r="M525" s="431"/>
      <c r="N525" s="400"/>
      <c r="O525" s="745"/>
      <c r="P525" s="745"/>
      <c r="Q525" s="745"/>
      <c r="R525" s="745"/>
      <c r="S525" s="745"/>
      <c r="T525" s="745"/>
      <c r="U525" s="745"/>
      <c r="V525" s="745"/>
      <c r="W525" s="745"/>
      <c r="X525" s="745"/>
      <c r="Y525" s="745"/>
      <c r="Z525" s="745"/>
      <c r="AA525" s="745"/>
      <c r="AB525" s="431"/>
      <c r="AC525" s="431"/>
      <c r="AD525" s="400"/>
      <c r="AE525" s="400"/>
      <c r="AF525" s="400"/>
      <c r="AG525" s="281"/>
      <c r="AH525" s="411"/>
      <c r="AI525" s="405"/>
      <c r="AJ525" s="405"/>
      <c r="AK525" s="405"/>
      <c r="AL525" s="405"/>
      <c r="AM525" s="405"/>
      <c r="AN525" s="405"/>
      <c r="AO525" s="405"/>
      <c r="AP525" s="258"/>
      <c r="AQ525" s="258"/>
      <c r="AR525" s="281"/>
      <c r="AS525" s="281"/>
      <c r="AT525" s="281"/>
      <c r="AU525" s="281"/>
      <c r="AV525" s="281"/>
      <c r="AW525" s="281"/>
      <c r="AX525" s="281"/>
      <c r="AY525" s="281"/>
      <c r="AZ525" s="281"/>
      <c r="BA525" s="281"/>
      <c r="BB525" s="281"/>
      <c r="BC525" s="281"/>
      <c r="BD525" s="281"/>
      <c r="BE525" s="281"/>
      <c r="BF525" s="281"/>
      <c r="BG525" s="281"/>
      <c r="BH525" s="281"/>
      <c r="BI525" s="281"/>
      <c r="BJ525" s="281"/>
      <c r="BK525" s="281"/>
      <c r="BL525" s="281"/>
      <c r="BM525" s="281"/>
      <c r="BN525" s="281"/>
      <c r="BO525" s="281"/>
      <c r="BP525" s="281"/>
      <c r="BQ525" s="281"/>
      <c r="BR525" s="281"/>
      <c r="BS525" s="281"/>
      <c r="BT525" s="281"/>
      <c r="BU525" s="281"/>
      <c r="BV525" s="281"/>
      <c r="BW525" s="281"/>
      <c r="BX525" s="281"/>
      <c r="BY525" s="281"/>
      <c r="BZ525" s="281"/>
    </row>
    <row r="526" spans="1:78" x14ac:dyDescent="0.2">
      <c r="A526" s="398"/>
      <c r="B526" s="286"/>
      <c r="C526" s="399"/>
      <c r="D526" s="391"/>
      <c r="E526" s="400"/>
      <c r="F526" s="400"/>
      <c r="G526" s="400"/>
      <c r="H526" s="431"/>
      <c r="I526" s="394"/>
      <c r="J526" s="431"/>
      <c r="K526" s="431"/>
      <c r="L526" s="431"/>
      <c r="M526" s="431"/>
      <c r="N526" s="400"/>
      <c r="O526" s="745"/>
      <c r="P526" s="745"/>
      <c r="Q526" s="745"/>
      <c r="R526" s="745"/>
      <c r="S526" s="745"/>
      <c r="T526" s="745"/>
      <c r="U526" s="745"/>
      <c r="V526" s="745"/>
      <c r="W526" s="745"/>
      <c r="X526" s="745"/>
      <c r="Y526" s="745"/>
      <c r="Z526" s="745"/>
      <c r="AA526" s="745"/>
      <c r="AB526" s="431"/>
      <c r="AC526" s="431"/>
      <c r="AD526" s="400"/>
      <c r="AE526" s="400"/>
      <c r="AF526" s="400"/>
      <c r="AG526" s="281"/>
      <c r="AH526" s="411"/>
      <c r="AI526" s="405"/>
      <c r="AJ526" s="405"/>
      <c r="AK526" s="405"/>
      <c r="AL526" s="405"/>
      <c r="AM526" s="405"/>
      <c r="AN526" s="405"/>
      <c r="AO526" s="405"/>
      <c r="AP526" s="258"/>
      <c r="AQ526" s="258"/>
      <c r="AR526" s="281"/>
      <c r="AS526" s="281"/>
      <c r="AT526" s="281"/>
      <c r="AU526" s="281"/>
      <c r="AV526" s="281"/>
      <c r="AW526" s="281"/>
      <c r="AX526" s="281"/>
      <c r="AY526" s="281"/>
      <c r="AZ526" s="281"/>
      <c r="BA526" s="281"/>
      <c r="BB526" s="281"/>
      <c r="BC526" s="281"/>
      <c r="BD526" s="281"/>
      <c r="BE526" s="281"/>
      <c r="BF526" s="281"/>
      <c r="BG526" s="281"/>
      <c r="BH526" s="281"/>
      <c r="BI526" s="281"/>
      <c r="BJ526" s="281"/>
      <c r="BK526" s="281"/>
      <c r="BL526" s="281"/>
      <c r="BM526" s="281"/>
      <c r="BN526" s="281"/>
      <c r="BO526" s="281"/>
      <c r="BP526" s="281"/>
      <c r="BQ526" s="281"/>
      <c r="BR526" s="281"/>
      <c r="BS526" s="281"/>
      <c r="BT526" s="281"/>
      <c r="BU526" s="281"/>
      <c r="BV526" s="281"/>
      <c r="BW526" s="281"/>
      <c r="BX526" s="281"/>
      <c r="BY526" s="281"/>
      <c r="BZ526" s="281"/>
    </row>
    <row r="527" spans="1:78" x14ac:dyDescent="0.2">
      <c r="A527" s="398"/>
      <c r="B527" s="286"/>
      <c r="C527" s="399"/>
      <c r="D527" s="391"/>
      <c r="E527" s="400"/>
      <c r="F527" s="400"/>
      <c r="G527" s="400"/>
      <c r="H527" s="431"/>
      <c r="I527" s="394"/>
      <c r="J527" s="431"/>
      <c r="K527" s="431"/>
      <c r="L527" s="431"/>
      <c r="M527" s="431"/>
      <c r="N527" s="400"/>
      <c r="O527" s="745"/>
      <c r="P527" s="745"/>
      <c r="Q527" s="745"/>
      <c r="R527" s="745"/>
      <c r="S527" s="745"/>
      <c r="T527" s="745"/>
      <c r="U527" s="745"/>
      <c r="V527" s="745"/>
      <c r="W527" s="745"/>
      <c r="X527" s="745"/>
      <c r="Y527" s="745"/>
      <c r="Z527" s="745"/>
      <c r="AA527" s="745"/>
      <c r="AB527" s="431"/>
      <c r="AC527" s="431"/>
      <c r="AD527" s="400"/>
      <c r="AE527" s="400"/>
      <c r="AF527" s="400"/>
      <c r="AG527" s="281"/>
      <c r="AH527" s="411"/>
      <c r="AI527" s="405"/>
      <c r="AJ527" s="405"/>
      <c r="AK527" s="405"/>
      <c r="AL527" s="405"/>
      <c r="AM527" s="405"/>
      <c r="AN527" s="405"/>
      <c r="AO527" s="405"/>
      <c r="AP527" s="258"/>
      <c r="AQ527" s="258"/>
      <c r="AR527" s="281"/>
      <c r="AS527" s="281"/>
      <c r="AT527" s="281"/>
      <c r="AU527" s="281"/>
      <c r="AV527" s="281"/>
      <c r="AW527" s="281"/>
      <c r="AX527" s="281"/>
      <c r="AY527" s="281"/>
      <c r="AZ527" s="281"/>
      <c r="BA527" s="281"/>
      <c r="BB527" s="281"/>
      <c r="BC527" s="281"/>
      <c r="BD527" s="281"/>
      <c r="BE527" s="281"/>
      <c r="BF527" s="281"/>
      <c r="BG527" s="281"/>
      <c r="BH527" s="281"/>
      <c r="BI527" s="281"/>
      <c r="BJ527" s="281"/>
      <c r="BK527" s="281"/>
      <c r="BL527" s="281"/>
      <c r="BM527" s="281"/>
      <c r="BN527" s="281"/>
      <c r="BO527" s="281"/>
      <c r="BP527" s="281"/>
      <c r="BQ527" s="281"/>
      <c r="BR527" s="281"/>
      <c r="BS527" s="281"/>
      <c r="BT527" s="281"/>
      <c r="BU527" s="281"/>
      <c r="BV527" s="281"/>
      <c r="BW527" s="281"/>
      <c r="BX527" s="281"/>
      <c r="BY527" s="281"/>
      <c r="BZ527" s="281"/>
    </row>
    <row r="528" spans="1:78" x14ac:dyDescent="0.2">
      <c r="A528" s="398"/>
      <c r="B528" s="286"/>
      <c r="C528" s="399"/>
      <c r="D528" s="391"/>
      <c r="E528" s="400"/>
      <c r="F528" s="400"/>
      <c r="G528" s="400"/>
      <c r="H528" s="431"/>
      <c r="I528" s="394"/>
      <c r="J528" s="431"/>
      <c r="K528" s="431"/>
      <c r="L528" s="431"/>
      <c r="M528" s="431"/>
      <c r="N528" s="400"/>
      <c r="O528" s="745"/>
      <c r="P528" s="745"/>
      <c r="Q528" s="745"/>
      <c r="R528" s="745"/>
      <c r="S528" s="745"/>
      <c r="T528" s="745"/>
      <c r="U528" s="745"/>
      <c r="V528" s="745"/>
      <c r="W528" s="745"/>
      <c r="X528" s="745"/>
      <c r="Y528" s="745"/>
      <c r="Z528" s="745"/>
      <c r="AA528" s="745"/>
      <c r="AB528" s="431"/>
      <c r="AC528" s="431"/>
      <c r="AD528" s="400"/>
      <c r="AE528" s="400"/>
      <c r="AF528" s="400"/>
      <c r="AG528" s="281"/>
      <c r="AH528" s="411"/>
      <c r="AI528" s="405"/>
      <c r="AJ528" s="405"/>
      <c r="AK528" s="405"/>
      <c r="AL528" s="405"/>
      <c r="AM528" s="405"/>
      <c r="AN528" s="405"/>
      <c r="AO528" s="405"/>
      <c r="AP528" s="258"/>
      <c r="AQ528" s="258"/>
      <c r="AR528" s="281"/>
      <c r="AS528" s="281"/>
      <c r="AT528" s="281"/>
      <c r="AU528" s="281"/>
      <c r="AV528" s="281"/>
      <c r="AW528" s="281"/>
      <c r="AX528" s="281"/>
      <c r="AY528" s="281"/>
      <c r="AZ528" s="281"/>
      <c r="BA528" s="281"/>
      <c r="BB528" s="281"/>
      <c r="BC528" s="281"/>
      <c r="BD528" s="281"/>
      <c r="BE528" s="281"/>
      <c r="BF528" s="281"/>
      <c r="BG528" s="281"/>
      <c r="BH528" s="281"/>
      <c r="BI528" s="281"/>
      <c r="BJ528" s="281"/>
      <c r="BK528" s="281"/>
      <c r="BL528" s="281"/>
      <c r="BM528" s="281"/>
      <c r="BN528" s="281"/>
      <c r="BO528" s="281"/>
      <c r="BP528" s="281"/>
      <c r="BQ528" s="281"/>
      <c r="BR528" s="281"/>
      <c r="BS528" s="281"/>
      <c r="BT528" s="281"/>
      <c r="BU528" s="281"/>
      <c r="BV528" s="281"/>
      <c r="BW528" s="281"/>
      <c r="BX528" s="281"/>
      <c r="BY528" s="281"/>
      <c r="BZ528" s="281"/>
    </row>
    <row r="529" spans="1:78" x14ac:dyDescent="0.2">
      <c r="A529" s="398"/>
      <c r="B529" s="286"/>
      <c r="C529" s="399"/>
      <c r="D529" s="391"/>
      <c r="E529" s="400"/>
      <c r="F529" s="400"/>
      <c r="G529" s="400"/>
      <c r="H529" s="431"/>
      <c r="I529" s="394"/>
      <c r="J529" s="431"/>
      <c r="K529" s="431"/>
      <c r="L529" s="431"/>
      <c r="M529" s="431"/>
      <c r="N529" s="400"/>
      <c r="O529" s="745"/>
      <c r="P529" s="745"/>
      <c r="Q529" s="745"/>
      <c r="R529" s="745"/>
      <c r="S529" s="745"/>
      <c r="T529" s="745"/>
      <c r="U529" s="745"/>
      <c r="V529" s="745"/>
      <c r="W529" s="745"/>
      <c r="X529" s="745"/>
      <c r="Y529" s="745"/>
      <c r="Z529" s="745"/>
      <c r="AA529" s="745"/>
      <c r="AB529" s="431"/>
      <c r="AC529" s="431"/>
      <c r="AD529" s="400"/>
      <c r="AE529" s="400"/>
      <c r="AF529" s="400"/>
      <c r="AG529" s="281"/>
      <c r="AH529" s="411"/>
      <c r="AI529" s="405"/>
      <c r="AJ529" s="405"/>
      <c r="AK529" s="405"/>
      <c r="AL529" s="405"/>
      <c r="AM529" s="405"/>
      <c r="AN529" s="405"/>
      <c r="AO529" s="405"/>
      <c r="AP529" s="258"/>
      <c r="AQ529" s="258"/>
      <c r="AR529" s="281"/>
      <c r="AS529" s="281"/>
      <c r="AT529" s="281"/>
      <c r="AU529" s="281"/>
      <c r="AV529" s="281"/>
      <c r="AW529" s="281"/>
      <c r="AX529" s="281"/>
      <c r="AY529" s="281"/>
      <c r="AZ529" s="281"/>
      <c r="BA529" s="281"/>
      <c r="BB529" s="281"/>
      <c r="BC529" s="281"/>
      <c r="BD529" s="281"/>
      <c r="BE529" s="281"/>
      <c r="BF529" s="281"/>
      <c r="BG529" s="281"/>
      <c r="BH529" s="281"/>
      <c r="BI529" s="281"/>
      <c r="BJ529" s="281"/>
      <c r="BK529" s="281"/>
      <c r="BL529" s="281"/>
      <c r="BM529" s="281"/>
      <c r="BN529" s="281"/>
      <c r="BO529" s="281"/>
      <c r="BP529" s="281"/>
      <c r="BQ529" s="281"/>
      <c r="BR529" s="281"/>
      <c r="BS529" s="281"/>
      <c r="BT529" s="281"/>
      <c r="BU529" s="281"/>
      <c r="BV529" s="281"/>
      <c r="BW529" s="281"/>
      <c r="BX529" s="281"/>
      <c r="BY529" s="281"/>
      <c r="BZ529" s="281"/>
    </row>
    <row r="530" spans="1:78" x14ac:dyDescent="0.2">
      <c r="A530" s="398"/>
      <c r="B530" s="286"/>
      <c r="C530" s="399"/>
      <c r="D530" s="391"/>
      <c r="E530" s="400"/>
      <c r="F530" s="400"/>
      <c r="G530" s="400"/>
      <c r="H530" s="431"/>
      <c r="I530" s="394"/>
      <c r="J530" s="431"/>
      <c r="K530" s="431"/>
      <c r="L530" s="431"/>
      <c r="M530" s="431"/>
      <c r="N530" s="400"/>
      <c r="O530" s="745"/>
      <c r="P530" s="745"/>
      <c r="Q530" s="745"/>
      <c r="R530" s="745"/>
      <c r="S530" s="745"/>
      <c r="T530" s="745"/>
      <c r="U530" s="745"/>
      <c r="V530" s="745"/>
      <c r="W530" s="745"/>
      <c r="X530" s="745"/>
      <c r="Y530" s="745"/>
      <c r="Z530" s="745"/>
      <c r="AA530" s="745"/>
      <c r="AB530" s="431"/>
      <c r="AC530" s="431"/>
      <c r="AD530" s="400"/>
      <c r="AE530" s="400"/>
      <c r="AF530" s="400"/>
      <c r="AG530" s="281"/>
      <c r="AH530" s="411"/>
      <c r="AI530" s="405"/>
      <c r="AJ530" s="405"/>
      <c r="AK530" s="405"/>
      <c r="AL530" s="405"/>
      <c r="AM530" s="405"/>
      <c r="AN530" s="405"/>
      <c r="AO530" s="405"/>
      <c r="AP530" s="258"/>
      <c r="AQ530" s="258"/>
      <c r="AR530" s="281"/>
      <c r="AS530" s="281"/>
      <c r="AT530" s="281"/>
      <c r="AU530" s="281"/>
      <c r="AV530" s="281"/>
      <c r="AW530" s="281"/>
      <c r="AX530" s="281"/>
      <c r="AY530" s="281"/>
      <c r="AZ530" s="281"/>
      <c r="BA530" s="281"/>
      <c r="BB530" s="281"/>
      <c r="BC530" s="281"/>
      <c r="BD530" s="281"/>
      <c r="BE530" s="281"/>
      <c r="BF530" s="281"/>
      <c r="BG530" s="281"/>
      <c r="BH530" s="281"/>
      <c r="BI530" s="281"/>
      <c r="BJ530" s="281"/>
      <c r="BK530" s="281"/>
      <c r="BL530" s="281"/>
      <c r="BM530" s="281"/>
      <c r="BN530" s="281"/>
      <c r="BO530" s="281"/>
      <c r="BP530" s="281"/>
      <c r="BQ530" s="281"/>
      <c r="BR530" s="281"/>
      <c r="BS530" s="281"/>
      <c r="BT530" s="281"/>
      <c r="BU530" s="281"/>
      <c r="BV530" s="281"/>
      <c r="BW530" s="281"/>
      <c r="BX530" s="281"/>
      <c r="BY530" s="281"/>
      <c r="BZ530" s="281"/>
    </row>
    <row r="531" spans="1:78" x14ac:dyDescent="0.2">
      <c r="A531" s="398"/>
      <c r="B531" s="286"/>
      <c r="C531" s="399"/>
      <c r="D531" s="391"/>
      <c r="E531" s="400"/>
      <c r="F531" s="400"/>
      <c r="G531" s="400"/>
      <c r="H531" s="431"/>
      <c r="I531" s="394"/>
      <c r="J531" s="431"/>
      <c r="K531" s="431"/>
      <c r="L531" s="431"/>
      <c r="M531" s="431"/>
      <c r="N531" s="400"/>
      <c r="O531" s="745"/>
      <c r="P531" s="745"/>
      <c r="Q531" s="745"/>
      <c r="R531" s="745"/>
      <c r="S531" s="745"/>
      <c r="T531" s="745"/>
      <c r="U531" s="745"/>
      <c r="V531" s="745"/>
      <c r="W531" s="745"/>
      <c r="X531" s="745"/>
      <c r="Y531" s="745"/>
      <c r="Z531" s="745"/>
      <c r="AA531" s="745"/>
      <c r="AB531" s="431"/>
      <c r="AC531" s="431"/>
      <c r="AD531" s="400"/>
      <c r="AE531" s="400"/>
      <c r="AF531" s="400"/>
      <c r="AG531" s="281"/>
      <c r="AH531" s="411"/>
      <c r="AI531" s="405"/>
      <c r="AJ531" s="405"/>
      <c r="AK531" s="405"/>
      <c r="AL531" s="405"/>
      <c r="AM531" s="405"/>
      <c r="AN531" s="405"/>
      <c r="AO531" s="405"/>
      <c r="AP531" s="258"/>
      <c r="AQ531" s="258"/>
      <c r="AR531" s="281"/>
      <c r="AS531" s="281"/>
      <c r="AT531" s="281"/>
      <c r="AU531" s="281"/>
      <c r="AV531" s="281"/>
      <c r="AW531" s="281"/>
      <c r="AX531" s="281"/>
      <c r="AY531" s="281"/>
      <c r="AZ531" s="281"/>
      <c r="BA531" s="281"/>
      <c r="BB531" s="281"/>
      <c r="BC531" s="281"/>
      <c r="BD531" s="281"/>
      <c r="BE531" s="281"/>
      <c r="BF531" s="281"/>
      <c r="BG531" s="281"/>
      <c r="BH531" s="281"/>
      <c r="BI531" s="281"/>
      <c r="BJ531" s="281"/>
      <c r="BK531" s="281"/>
      <c r="BL531" s="281"/>
      <c r="BM531" s="281"/>
      <c r="BN531" s="281"/>
      <c r="BO531" s="281"/>
      <c r="BP531" s="281"/>
      <c r="BQ531" s="281"/>
      <c r="BR531" s="281"/>
      <c r="BS531" s="281"/>
      <c r="BT531" s="281"/>
      <c r="BU531" s="281"/>
      <c r="BV531" s="281"/>
      <c r="BW531" s="281"/>
      <c r="BX531" s="281"/>
      <c r="BY531" s="281"/>
      <c r="BZ531" s="281"/>
    </row>
    <row r="532" spans="1:78" x14ac:dyDescent="0.2">
      <c r="A532" s="398"/>
      <c r="B532" s="286"/>
      <c r="C532" s="399"/>
      <c r="D532" s="391"/>
      <c r="E532" s="400"/>
      <c r="F532" s="400"/>
      <c r="G532" s="400"/>
      <c r="H532" s="431"/>
      <c r="I532" s="394"/>
      <c r="J532" s="431"/>
      <c r="K532" s="431"/>
      <c r="L532" s="431"/>
      <c r="M532" s="431"/>
      <c r="N532" s="400"/>
      <c r="O532" s="745"/>
      <c r="P532" s="745"/>
      <c r="Q532" s="745"/>
      <c r="R532" s="745"/>
      <c r="S532" s="745"/>
      <c r="T532" s="745"/>
      <c r="U532" s="745"/>
      <c r="V532" s="745"/>
      <c r="W532" s="745"/>
      <c r="X532" s="745"/>
      <c r="Y532" s="745"/>
      <c r="Z532" s="745"/>
      <c r="AA532" s="745"/>
      <c r="AB532" s="431"/>
      <c r="AC532" s="431"/>
      <c r="AD532" s="400"/>
      <c r="AE532" s="400"/>
      <c r="AF532" s="400"/>
      <c r="AG532" s="281"/>
      <c r="AH532" s="411"/>
      <c r="AI532" s="405"/>
      <c r="AJ532" s="405"/>
      <c r="AK532" s="405"/>
      <c r="AL532" s="405"/>
      <c r="AM532" s="405"/>
      <c r="AN532" s="405"/>
      <c r="AO532" s="405"/>
      <c r="AP532" s="258"/>
      <c r="AQ532" s="258"/>
      <c r="AR532" s="281"/>
      <c r="AS532" s="281"/>
      <c r="AT532" s="281"/>
      <c r="AU532" s="281"/>
      <c r="AV532" s="281"/>
      <c r="AW532" s="281"/>
      <c r="AX532" s="281"/>
      <c r="AY532" s="281"/>
      <c r="AZ532" s="281"/>
      <c r="BA532" s="281"/>
      <c r="BB532" s="281"/>
      <c r="BC532" s="281"/>
      <c r="BD532" s="281"/>
      <c r="BE532" s="281"/>
      <c r="BF532" s="281"/>
      <c r="BG532" s="281"/>
      <c r="BH532" s="281"/>
      <c r="BI532" s="281"/>
      <c r="BJ532" s="281"/>
      <c r="BK532" s="281"/>
      <c r="BL532" s="281"/>
      <c r="BM532" s="281"/>
      <c r="BN532" s="281"/>
      <c r="BO532" s="281"/>
      <c r="BP532" s="281"/>
      <c r="BQ532" s="281"/>
      <c r="BR532" s="281"/>
      <c r="BS532" s="281"/>
      <c r="BT532" s="281"/>
      <c r="BU532" s="281"/>
      <c r="BV532" s="281"/>
      <c r="BW532" s="281"/>
      <c r="BX532" s="281"/>
      <c r="BY532" s="281"/>
      <c r="BZ532" s="281"/>
    </row>
    <row r="533" spans="1:78" x14ac:dyDescent="0.2">
      <c r="A533" s="398"/>
      <c r="B533" s="286"/>
      <c r="C533" s="399"/>
      <c r="D533" s="391"/>
      <c r="E533" s="400"/>
      <c r="F533" s="400"/>
      <c r="G533" s="400"/>
      <c r="H533" s="431"/>
      <c r="I533" s="394"/>
      <c r="J533" s="431"/>
      <c r="K533" s="431"/>
      <c r="L533" s="431"/>
      <c r="M533" s="431"/>
      <c r="N533" s="400"/>
      <c r="O533" s="745"/>
      <c r="P533" s="745"/>
      <c r="Q533" s="745"/>
      <c r="R533" s="745"/>
      <c r="S533" s="745"/>
      <c r="T533" s="745"/>
      <c r="U533" s="745"/>
      <c r="V533" s="745"/>
      <c r="W533" s="745"/>
      <c r="X533" s="745"/>
      <c r="Y533" s="745"/>
      <c r="Z533" s="745"/>
      <c r="AA533" s="745"/>
      <c r="AB533" s="431"/>
      <c r="AC533" s="431"/>
      <c r="AD533" s="400"/>
      <c r="AE533" s="400"/>
      <c r="AF533" s="400"/>
      <c r="AG533" s="281"/>
      <c r="AH533" s="411"/>
      <c r="AI533" s="405"/>
      <c r="AJ533" s="405"/>
      <c r="AK533" s="405"/>
      <c r="AL533" s="405"/>
      <c r="AM533" s="405"/>
      <c r="AN533" s="405"/>
      <c r="AO533" s="405"/>
      <c r="AP533" s="258"/>
      <c r="AQ533" s="258"/>
      <c r="AR533" s="281"/>
      <c r="AS533" s="281"/>
      <c r="AT533" s="281"/>
      <c r="AU533" s="281"/>
      <c r="AV533" s="281"/>
      <c r="AW533" s="281"/>
      <c r="AX533" s="281"/>
      <c r="AY533" s="281"/>
      <c r="AZ533" s="281"/>
      <c r="BA533" s="281"/>
      <c r="BB533" s="281"/>
      <c r="BC533" s="281"/>
      <c r="BD533" s="281"/>
      <c r="BE533" s="281"/>
      <c r="BF533" s="281"/>
      <c r="BG533" s="281"/>
      <c r="BH533" s="281"/>
      <c r="BI533" s="281"/>
      <c r="BJ533" s="281"/>
      <c r="BK533" s="281"/>
      <c r="BL533" s="281"/>
      <c r="BM533" s="281"/>
      <c r="BN533" s="281"/>
      <c r="BO533" s="281"/>
      <c r="BP533" s="281"/>
      <c r="BQ533" s="281"/>
      <c r="BR533" s="281"/>
      <c r="BS533" s="281"/>
      <c r="BT533" s="281"/>
      <c r="BU533" s="281"/>
      <c r="BV533" s="281"/>
      <c r="BW533" s="281"/>
      <c r="BX533" s="281"/>
      <c r="BY533" s="281"/>
      <c r="BZ533" s="281"/>
    </row>
    <row r="534" spans="1:78" x14ac:dyDescent="0.2">
      <c r="A534" s="398"/>
      <c r="B534" s="286"/>
      <c r="C534" s="399"/>
      <c r="D534" s="391"/>
      <c r="E534" s="400"/>
      <c r="F534" s="400"/>
      <c r="G534" s="400"/>
      <c r="H534" s="431"/>
      <c r="I534" s="394"/>
      <c r="J534" s="431"/>
      <c r="K534" s="431"/>
      <c r="L534" s="431"/>
      <c r="M534" s="431"/>
      <c r="N534" s="400"/>
      <c r="O534" s="745"/>
      <c r="P534" s="745"/>
      <c r="Q534" s="745"/>
      <c r="R534" s="745"/>
      <c r="S534" s="745"/>
      <c r="T534" s="745"/>
      <c r="U534" s="745"/>
      <c r="V534" s="745"/>
      <c r="W534" s="745"/>
      <c r="X534" s="745"/>
      <c r="Y534" s="745"/>
      <c r="Z534" s="745"/>
      <c r="AA534" s="745"/>
      <c r="AB534" s="431"/>
      <c r="AC534" s="431"/>
      <c r="AD534" s="400"/>
      <c r="AE534" s="400"/>
      <c r="AF534" s="400"/>
      <c r="AG534" s="281"/>
      <c r="AH534" s="411"/>
      <c r="AI534" s="405"/>
      <c r="AJ534" s="405"/>
      <c r="AK534" s="405"/>
      <c r="AL534" s="405"/>
      <c r="AM534" s="405"/>
      <c r="AN534" s="405"/>
      <c r="AO534" s="405"/>
      <c r="AP534" s="258"/>
      <c r="AQ534" s="258"/>
      <c r="AR534" s="281"/>
      <c r="AS534" s="281"/>
      <c r="AT534" s="281"/>
      <c r="AU534" s="281"/>
      <c r="AV534" s="281"/>
      <c r="AW534" s="281"/>
      <c r="AX534" s="281"/>
      <c r="AY534" s="281"/>
      <c r="AZ534" s="281"/>
      <c r="BA534" s="281"/>
      <c r="BB534" s="281"/>
      <c r="BC534" s="281"/>
      <c r="BD534" s="281"/>
      <c r="BE534" s="281"/>
      <c r="BF534" s="281"/>
      <c r="BG534" s="281"/>
      <c r="BH534" s="281"/>
      <c r="BI534" s="281"/>
      <c r="BJ534" s="281"/>
      <c r="BK534" s="281"/>
      <c r="BL534" s="281"/>
      <c r="BM534" s="281"/>
      <c r="BN534" s="281"/>
      <c r="BO534" s="281"/>
      <c r="BP534" s="281"/>
      <c r="BQ534" s="281"/>
      <c r="BR534" s="281"/>
      <c r="BS534" s="281"/>
      <c r="BT534" s="281"/>
      <c r="BU534" s="281"/>
      <c r="BV534" s="281"/>
      <c r="BW534" s="281"/>
      <c r="BX534" s="281"/>
      <c r="BY534" s="281"/>
      <c r="BZ534" s="281"/>
    </row>
    <row r="535" spans="1:78" x14ac:dyDescent="0.2">
      <c r="A535" s="398"/>
      <c r="B535" s="286"/>
      <c r="C535" s="399"/>
      <c r="D535" s="391"/>
      <c r="E535" s="400"/>
      <c r="F535" s="400"/>
      <c r="G535" s="400"/>
      <c r="H535" s="431"/>
      <c r="I535" s="394"/>
      <c r="J535" s="431"/>
      <c r="K535" s="431"/>
      <c r="L535" s="431"/>
      <c r="M535" s="431"/>
      <c r="N535" s="400"/>
      <c r="O535" s="745"/>
      <c r="P535" s="745"/>
      <c r="Q535" s="745"/>
      <c r="R535" s="745"/>
      <c r="S535" s="745"/>
      <c r="T535" s="745"/>
      <c r="U535" s="745"/>
      <c r="V535" s="745"/>
      <c r="W535" s="745"/>
      <c r="X535" s="745"/>
      <c r="Y535" s="745"/>
      <c r="Z535" s="745"/>
      <c r="AA535" s="745"/>
      <c r="AB535" s="431"/>
      <c r="AC535" s="431"/>
      <c r="AD535" s="400"/>
      <c r="AE535" s="400"/>
      <c r="AF535" s="400"/>
      <c r="AG535" s="281"/>
      <c r="AH535" s="411"/>
      <c r="AI535" s="405"/>
      <c r="AJ535" s="405"/>
      <c r="AK535" s="405"/>
      <c r="AL535" s="405"/>
      <c r="AM535" s="405"/>
      <c r="AN535" s="405"/>
      <c r="AO535" s="405"/>
      <c r="AP535" s="258"/>
      <c r="AQ535" s="258"/>
      <c r="AR535" s="281"/>
      <c r="AS535" s="281"/>
      <c r="AT535" s="281"/>
      <c r="AU535" s="281"/>
      <c r="AV535" s="281"/>
      <c r="AW535" s="281"/>
      <c r="AX535" s="281"/>
      <c r="AY535" s="281"/>
      <c r="AZ535" s="281"/>
      <c r="BA535" s="281"/>
      <c r="BB535" s="281"/>
      <c r="BC535" s="281"/>
      <c r="BD535" s="281"/>
      <c r="BE535" s="281"/>
      <c r="BF535" s="281"/>
      <c r="BG535" s="281"/>
      <c r="BH535" s="281"/>
      <c r="BI535" s="281"/>
      <c r="BJ535" s="281"/>
      <c r="BK535" s="281"/>
      <c r="BL535" s="281"/>
      <c r="BM535" s="281"/>
      <c r="BN535" s="281"/>
      <c r="BO535" s="281"/>
      <c r="BP535" s="281"/>
      <c r="BQ535" s="281"/>
      <c r="BR535" s="281"/>
      <c r="BS535" s="281"/>
      <c r="BT535" s="281"/>
      <c r="BU535" s="281"/>
      <c r="BV535" s="281"/>
      <c r="BW535" s="281"/>
      <c r="BX535" s="281"/>
      <c r="BY535" s="281"/>
      <c r="BZ535" s="281"/>
    </row>
    <row r="536" spans="1:78" x14ac:dyDescent="0.2">
      <c r="A536" s="398"/>
      <c r="B536" s="286"/>
      <c r="C536" s="399"/>
      <c r="D536" s="391"/>
      <c r="E536" s="400"/>
      <c r="F536" s="400"/>
      <c r="G536" s="400"/>
      <c r="H536" s="431"/>
      <c r="I536" s="394"/>
      <c r="J536" s="431"/>
      <c r="K536" s="431"/>
      <c r="L536" s="431"/>
      <c r="M536" s="431"/>
      <c r="N536" s="400"/>
      <c r="O536" s="745"/>
      <c r="P536" s="745"/>
      <c r="Q536" s="745"/>
      <c r="R536" s="745"/>
      <c r="S536" s="745"/>
      <c r="T536" s="745"/>
      <c r="U536" s="745"/>
      <c r="V536" s="745"/>
      <c r="W536" s="745"/>
      <c r="X536" s="745"/>
      <c r="Y536" s="745"/>
      <c r="Z536" s="745"/>
      <c r="AA536" s="745"/>
      <c r="AB536" s="431"/>
      <c r="AC536" s="431"/>
      <c r="AD536" s="400"/>
      <c r="AE536" s="400"/>
      <c r="AF536" s="400"/>
      <c r="AG536" s="281"/>
      <c r="AH536" s="411"/>
      <c r="AI536" s="405"/>
      <c r="AJ536" s="405"/>
      <c r="AK536" s="405"/>
      <c r="AL536" s="405"/>
      <c r="AM536" s="405"/>
      <c r="AN536" s="405"/>
      <c r="AO536" s="405"/>
      <c r="AP536" s="258"/>
      <c r="AQ536" s="258"/>
      <c r="AR536" s="281"/>
      <c r="AS536" s="281"/>
      <c r="AT536" s="281"/>
      <c r="AU536" s="281"/>
      <c r="AV536" s="281"/>
      <c r="AW536" s="281"/>
      <c r="AX536" s="281"/>
      <c r="AY536" s="281"/>
      <c r="AZ536" s="281"/>
      <c r="BA536" s="281"/>
      <c r="BB536" s="281"/>
      <c r="BC536" s="281"/>
      <c r="BD536" s="281"/>
      <c r="BE536" s="281"/>
      <c r="BF536" s="281"/>
      <c r="BG536" s="281"/>
      <c r="BH536" s="281"/>
      <c r="BI536" s="281"/>
      <c r="BJ536" s="281"/>
      <c r="BK536" s="281"/>
      <c r="BL536" s="281"/>
      <c r="BM536" s="281"/>
      <c r="BN536" s="281"/>
      <c r="BO536" s="281"/>
      <c r="BP536" s="281"/>
      <c r="BQ536" s="281"/>
      <c r="BR536" s="281"/>
      <c r="BS536" s="281"/>
      <c r="BT536" s="281"/>
      <c r="BU536" s="281"/>
      <c r="BV536" s="281"/>
      <c r="BW536" s="281"/>
      <c r="BX536" s="281"/>
      <c r="BY536" s="281"/>
      <c r="BZ536" s="281"/>
    </row>
    <row r="537" spans="1:78" x14ac:dyDescent="0.2">
      <c r="A537" s="398"/>
      <c r="B537" s="286"/>
      <c r="C537" s="399"/>
      <c r="D537" s="391"/>
      <c r="E537" s="400"/>
      <c r="F537" s="400"/>
      <c r="G537" s="400"/>
      <c r="H537" s="431"/>
      <c r="I537" s="394"/>
      <c r="J537" s="431"/>
      <c r="K537" s="431"/>
      <c r="L537" s="431"/>
      <c r="M537" s="431"/>
      <c r="N537" s="400"/>
      <c r="O537" s="745"/>
      <c r="P537" s="745"/>
      <c r="Q537" s="745"/>
      <c r="R537" s="745"/>
      <c r="S537" s="745"/>
      <c r="T537" s="745"/>
      <c r="U537" s="745"/>
      <c r="V537" s="745"/>
      <c r="W537" s="745"/>
      <c r="X537" s="745"/>
      <c r="Y537" s="745"/>
      <c r="Z537" s="745"/>
      <c r="AA537" s="745"/>
      <c r="AB537" s="431"/>
      <c r="AC537" s="431"/>
      <c r="AD537" s="400"/>
      <c r="AE537" s="400"/>
      <c r="AF537" s="400"/>
      <c r="AG537" s="281"/>
      <c r="AH537" s="411"/>
      <c r="AI537" s="405"/>
      <c r="AJ537" s="405"/>
      <c r="AK537" s="405"/>
      <c r="AL537" s="405"/>
      <c r="AM537" s="405"/>
      <c r="AN537" s="405"/>
      <c r="AO537" s="405"/>
      <c r="AP537" s="258"/>
      <c r="AQ537" s="258"/>
      <c r="AR537" s="281"/>
      <c r="AS537" s="281"/>
      <c r="AT537" s="281"/>
      <c r="AU537" s="281"/>
      <c r="AV537" s="281"/>
      <c r="AW537" s="281"/>
      <c r="AX537" s="281"/>
      <c r="AY537" s="281"/>
      <c r="AZ537" s="281"/>
      <c r="BA537" s="281"/>
      <c r="BB537" s="281"/>
      <c r="BC537" s="281"/>
      <c r="BD537" s="281"/>
      <c r="BE537" s="281"/>
      <c r="BF537" s="281"/>
      <c r="BG537" s="281"/>
      <c r="BH537" s="281"/>
      <c r="BI537" s="281"/>
      <c r="BJ537" s="281"/>
      <c r="BK537" s="281"/>
      <c r="BL537" s="281"/>
      <c r="BM537" s="281"/>
      <c r="BN537" s="281"/>
      <c r="BO537" s="281"/>
      <c r="BP537" s="281"/>
      <c r="BQ537" s="281"/>
      <c r="BR537" s="281"/>
      <c r="BS537" s="281"/>
      <c r="BT537" s="281"/>
      <c r="BU537" s="281"/>
      <c r="BV537" s="281"/>
      <c r="BW537" s="281"/>
      <c r="BX537" s="281"/>
      <c r="BY537" s="281"/>
      <c r="BZ537" s="281"/>
    </row>
    <row r="538" spans="1:78" x14ac:dyDescent="0.2">
      <c r="A538" s="398"/>
      <c r="B538" s="286"/>
      <c r="C538" s="399"/>
      <c r="D538" s="391"/>
      <c r="E538" s="400"/>
      <c r="F538" s="400"/>
      <c r="G538" s="400"/>
      <c r="H538" s="431"/>
      <c r="I538" s="394"/>
      <c r="J538" s="431"/>
      <c r="K538" s="431"/>
      <c r="L538" s="431"/>
      <c r="M538" s="431"/>
      <c r="N538" s="400"/>
      <c r="O538" s="745"/>
      <c r="P538" s="745"/>
      <c r="Q538" s="745"/>
      <c r="R538" s="745"/>
      <c r="S538" s="745"/>
      <c r="T538" s="745"/>
      <c r="U538" s="745"/>
      <c r="V538" s="745"/>
      <c r="W538" s="745"/>
      <c r="X538" s="745"/>
      <c r="Y538" s="745"/>
      <c r="Z538" s="745"/>
      <c r="AA538" s="745"/>
      <c r="AB538" s="431"/>
      <c r="AC538" s="431"/>
      <c r="AD538" s="400"/>
      <c r="AE538" s="400"/>
      <c r="AF538" s="400"/>
      <c r="AG538" s="281"/>
      <c r="AH538" s="411"/>
      <c r="AI538" s="405"/>
      <c r="AJ538" s="405"/>
      <c r="AK538" s="405"/>
      <c r="AL538" s="405"/>
      <c r="AM538" s="405"/>
      <c r="AN538" s="405"/>
      <c r="AO538" s="405"/>
      <c r="AP538" s="258"/>
      <c r="AQ538" s="258"/>
      <c r="AR538" s="281"/>
      <c r="AS538" s="281"/>
      <c r="AT538" s="281"/>
      <c r="AU538" s="281"/>
      <c r="AV538" s="281"/>
      <c r="AW538" s="281"/>
      <c r="AX538" s="281"/>
      <c r="AY538" s="281"/>
      <c r="AZ538" s="281"/>
      <c r="BA538" s="281"/>
      <c r="BB538" s="281"/>
      <c r="BC538" s="281"/>
      <c r="BD538" s="281"/>
      <c r="BE538" s="281"/>
      <c r="BF538" s="281"/>
      <c r="BG538" s="281"/>
      <c r="BH538" s="281"/>
      <c r="BI538" s="281"/>
      <c r="BJ538" s="281"/>
      <c r="BK538" s="281"/>
      <c r="BL538" s="281"/>
      <c r="BM538" s="281"/>
      <c r="BN538" s="281"/>
      <c r="BO538" s="281"/>
      <c r="BP538" s="281"/>
      <c r="BQ538" s="281"/>
      <c r="BR538" s="281"/>
      <c r="BS538" s="281"/>
      <c r="BT538" s="281"/>
      <c r="BU538" s="281"/>
      <c r="BV538" s="281"/>
      <c r="BW538" s="281"/>
      <c r="BX538" s="281"/>
      <c r="BY538" s="281"/>
      <c r="BZ538" s="281"/>
    </row>
    <row r="539" spans="1:78" x14ac:dyDescent="0.2">
      <c r="A539" s="398"/>
      <c r="B539" s="286"/>
      <c r="C539" s="399"/>
      <c r="D539" s="391"/>
      <c r="E539" s="400"/>
      <c r="F539" s="400"/>
      <c r="G539" s="400"/>
      <c r="H539" s="431"/>
      <c r="I539" s="394"/>
      <c r="J539" s="431"/>
      <c r="K539" s="431"/>
      <c r="L539" s="431"/>
      <c r="M539" s="431"/>
      <c r="N539" s="400"/>
      <c r="O539" s="745"/>
      <c r="P539" s="745"/>
      <c r="Q539" s="745"/>
      <c r="R539" s="745"/>
      <c r="S539" s="745"/>
      <c r="T539" s="745"/>
      <c r="U539" s="745"/>
      <c r="V539" s="745"/>
      <c r="W539" s="745"/>
      <c r="X539" s="745"/>
      <c r="Y539" s="745"/>
      <c r="Z539" s="745"/>
      <c r="AA539" s="745"/>
      <c r="AB539" s="431"/>
      <c r="AC539" s="431"/>
      <c r="AD539" s="400"/>
      <c r="AE539" s="400"/>
      <c r="AF539" s="400"/>
      <c r="AG539" s="281"/>
      <c r="AH539" s="411"/>
      <c r="AI539" s="405"/>
      <c r="AJ539" s="405"/>
      <c r="AK539" s="405"/>
      <c r="AL539" s="405"/>
      <c r="AM539" s="405"/>
      <c r="AN539" s="405"/>
      <c r="AO539" s="405"/>
      <c r="AP539" s="258"/>
      <c r="AQ539" s="258"/>
      <c r="AR539" s="281"/>
      <c r="AS539" s="281"/>
      <c r="AT539" s="281"/>
      <c r="AU539" s="281"/>
      <c r="AV539" s="281"/>
      <c r="AW539" s="281"/>
      <c r="AX539" s="281"/>
      <c r="AY539" s="281"/>
      <c r="AZ539" s="281"/>
      <c r="BA539" s="281"/>
      <c r="BB539" s="281"/>
      <c r="BC539" s="281"/>
      <c r="BD539" s="281"/>
      <c r="BE539" s="281"/>
      <c r="BF539" s="281"/>
      <c r="BG539" s="281"/>
      <c r="BH539" s="281"/>
      <c r="BI539" s="281"/>
      <c r="BJ539" s="281"/>
      <c r="BK539" s="281"/>
      <c r="BL539" s="281"/>
      <c r="BM539" s="281"/>
      <c r="BN539" s="281"/>
      <c r="BO539" s="281"/>
      <c r="BP539" s="281"/>
      <c r="BQ539" s="281"/>
      <c r="BR539" s="281"/>
      <c r="BS539" s="281"/>
      <c r="BT539" s="281"/>
      <c r="BU539" s="281"/>
      <c r="BV539" s="281"/>
      <c r="BW539" s="281"/>
      <c r="BX539" s="281"/>
      <c r="BY539" s="281"/>
      <c r="BZ539" s="281"/>
    </row>
    <row r="540" spans="1:78" x14ac:dyDescent="0.2">
      <c r="A540" s="398"/>
      <c r="B540" s="286"/>
      <c r="C540" s="399"/>
      <c r="D540" s="391"/>
      <c r="E540" s="400"/>
      <c r="F540" s="400"/>
      <c r="G540" s="400"/>
      <c r="H540" s="431"/>
      <c r="I540" s="394"/>
      <c r="J540" s="431"/>
      <c r="K540" s="431"/>
      <c r="L540" s="431"/>
      <c r="M540" s="431"/>
      <c r="N540" s="400"/>
      <c r="O540" s="745"/>
      <c r="P540" s="745"/>
      <c r="Q540" s="745"/>
      <c r="R540" s="745"/>
      <c r="S540" s="745"/>
      <c r="T540" s="745"/>
      <c r="U540" s="745"/>
      <c r="V540" s="745"/>
      <c r="W540" s="745"/>
      <c r="X540" s="745"/>
      <c r="Y540" s="745"/>
      <c r="Z540" s="745"/>
      <c r="AA540" s="745"/>
      <c r="AB540" s="431"/>
      <c r="AC540" s="431"/>
      <c r="AD540" s="400"/>
      <c r="AE540" s="400"/>
      <c r="AF540" s="400"/>
      <c r="AG540" s="281"/>
      <c r="AH540" s="411"/>
      <c r="AI540" s="405"/>
      <c r="AJ540" s="405"/>
      <c r="AK540" s="405"/>
      <c r="AL540" s="405"/>
      <c r="AM540" s="405"/>
      <c r="AN540" s="405"/>
      <c r="AO540" s="405"/>
      <c r="AP540" s="281"/>
      <c r="AQ540" s="292"/>
      <c r="AR540" s="281"/>
      <c r="AS540" s="281"/>
      <c r="AT540" s="281"/>
      <c r="AU540" s="281"/>
      <c r="AV540" s="281"/>
      <c r="AW540" s="281"/>
      <c r="AX540" s="281"/>
      <c r="AY540" s="281"/>
      <c r="AZ540" s="281"/>
      <c r="BA540" s="281"/>
      <c r="BB540" s="281"/>
      <c r="BC540" s="281"/>
      <c r="BD540" s="281"/>
      <c r="BE540" s="281"/>
      <c r="BF540" s="281"/>
      <c r="BG540" s="281"/>
      <c r="BH540" s="281"/>
      <c r="BI540" s="281"/>
      <c r="BJ540" s="281"/>
      <c r="BK540" s="281"/>
      <c r="BL540" s="281"/>
      <c r="BM540" s="281"/>
      <c r="BN540" s="281"/>
      <c r="BO540" s="281"/>
      <c r="BP540" s="281"/>
      <c r="BQ540" s="281"/>
      <c r="BR540" s="281"/>
      <c r="BS540" s="281"/>
      <c r="BT540" s="281"/>
      <c r="BU540" s="281"/>
      <c r="BV540" s="281"/>
      <c r="BW540" s="281"/>
      <c r="BX540" s="281"/>
      <c r="BY540" s="281"/>
      <c r="BZ540" s="281"/>
    </row>
    <row r="541" spans="1:78" x14ac:dyDescent="0.2">
      <c r="A541" s="398"/>
      <c r="B541" s="286"/>
      <c r="C541" s="399"/>
      <c r="D541" s="391"/>
      <c r="E541" s="400"/>
      <c r="F541" s="400"/>
      <c r="G541" s="400"/>
      <c r="H541" s="431"/>
      <c r="I541" s="394"/>
      <c r="J541" s="431"/>
      <c r="K541" s="431"/>
      <c r="L541" s="431"/>
      <c r="M541" s="431"/>
      <c r="N541" s="400"/>
      <c r="O541" s="745"/>
      <c r="P541" s="745"/>
      <c r="Q541" s="745"/>
      <c r="R541" s="745"/>
      <c r="S541" s="745"/>
      <c r="T541" s="745"/>
      <c r="U541" s="745"/>
      <c r="V541" s="745"/>
      <c r="W541" s="745"/>
      <c r="X541" s="745"/>
      <c r="Y541" s="745"/>
      <c r="Z541" s="745"/>
      <c r="AA541" s="745"/>
      <c r="AB541" s="431"/>
      <c r="AC541" s="431"/>
      <c r="AD541" s="400"/>
      <c r="AE541" s="400"/>
      <c r="AF541" s="400"/>
      <c r="AG541" s="281"/>
      <c r="AH541" s="411"/>
      <c r="AI541" s="405"/>
      <c r="AJ541" s="405"/>
      <c r="AK541" s="405"/>
      <c r="AL541" s="405"/>
      <c r="AM541" s="405"/>
      <c r="AN541" s="405"/>
      <c r="AO541" s="405"/>
      <c r="AP541" s="281"/>
      <c r="AQ541" s="292"/>
      <c r="AR541" s="281"/>
      <c r="AS541" s="281"/>
      <c r="AT541" s="281"/>
      <c r="AU541" s="281"/>
      <c r="AV541" s="281"/>
      <c r="AW541" s="281"/>
      <c r="AX541" s="281"/>
      <c r="AY541" s="281"/>
      <c r="AZ541" s="281"/>
      <c r="BA541" s="281"/>
      <c r="BB541" s="281"/>
      <c r="BC541" s="281"/>
      <c r="BD541" s="281"/>
      <c r="BE541" s="281"/>
      <c r="BF541" s="281"/>
      <c r="BG541" s="281"/>
      <c r="BH541" s="281"/>
      <c r="BI541" s="281"/>
      <c r="BJ541" s="281"/>
      <c r="BK541" s="281"/>
      <c r="BL541" s="281"/>
      <c r="BM541" s="281"/>
      <c r="BN541" s="281"/>
      <c r="BO541" s="281"/>
      <c r="BP541" s="281"/>
      <c r="BQ541" s="281"/>
      <c r="BR541" s="281"/>
      <c r="BS541" s="281"/>
      <c r="BT541" s="281"/>
      <c r="BU541" s="281"/>
      <c r="BV541" s="281"/>
      <c r="BW541" s="281"/>
      <c r="BX541" s="281"/>
      <c r="BY541" s="281"/>
      <c r="BZ541" s="281"/>
    </row>
    <row r="542" spans="1:78" x14ac:dyDescent="0.2">
      <c r="A542" s="398"/>
      <c r="B542" s="286"/>
      <c r="C542" s="399"/>
      <c r="D542" s="391"/>
      <c r="E542" s="400"/>
      <c r="F542" s="400"/>
      <c r="G542" s="400"/>
      <c r="H542" s="431"/>
      <c r="I542" s="394"/>
      <c r="J542" s="431"/>
      <c r="K542" s="431"/>
      <c r="L542" s="431"/>
      <c r="M542" s="431"/>
      <c r="N542" s="400"/>
      <c r="O542" s="745"/>
      <c r="P542" s="745"/>
      <c r="Q542" s="745"/>
      <c r="R542" s="745"/>
      <c r="S542" s="745"/>
      <c r="T542" s="745"/>
      <c r="U542" s="745"/>
      <c r="V542" s="745"/>
      <c r="W542" s="745"/>
      <c r="X542" s="745"/>
      <c r="Y542" s="745"/>
      <c r="Z542" s="745"/>
      <c r="AA542" s="745"/>
      <c r="AB542" s="431"/>
      <c r="AC542" s="431"/>
      <c r="AD542" s="400"/>
      <c r="AE542" s="400"/>
      <c r="AF542" s="400"/>
      <c r="AG542" s="281"/>
      <c r="AH542" s="411"/>
      <c r="AI542" s="405"/>
      <c r="AJ542" s="405"/>
      <c r="AK542" s="405"/>
      <c r="AL542" s="405"/>
      <c r="AM542" s="405"/>
      <c r="AN542" s="405"/>
      <c r="AO542" s="405"/>
      <c r="AP542" s="281"/>
      <c r="AQ542" s="292"/>
      <c r="AR542" s="281"/>
      <c r="AS542" s="281"/>
      <c r="AT542" s="281"/>
      <c r="AU542" s="281"/>
      <c r="AV542" s="281"/>
      <c r="AW542" s="281"/>
      <c r="AX542" s="281"/>
      <c r="AY542" s="281"/>
      <c r="AZ542" s="281"/>
      <c r="BA542" s="281"/>
      <c r="BB542" s="281"/>
      <c r="BC542" s="281"/>
      <c r="BD542" s="281"/>
      <c r="BE542" s="281"/>
      <c r="BF542" s="281"/>
      <c r="BG542" s="281"/>
      <c r="BH542" s="281"/>
      <c r="BI542" s="281"/>
      <c r="BJ542" s="281"/>
      <c r="BK542" s="281"/>
      <c r="BL542" s="281"/>
      <c r="BM542" s="281"/>
      <c r="BN542" s="281"/>
      <c r="BO542" s="281"/>
      <c r="BP542" s="281"/>
      <c r="BQ542" s="281"/>
      <c r="BR542" s="281"/>
      <c r="BS542" s="281"/>
      <c r="BT542" s="281"/>
      <c r="BU542" s="281"/>
      <c r="BV542" s="281"/>
      <c r="BW542" s="281"/>
      <c r="BX542" s="281"/>
      <c r="BY542" s="281"/>
      <c r="BZ542" s="281"/>
    </row>
    <row r="543" spans="1:78" x14ac:dyDescent="0.2">
      <c r="A543" s="398"/>
      <c r="B543" s="286"/>
      <c r="C543" s="399"/>
      <c r="D543" s="391"/>
      <c r="E543" s="400"/>
      <c r="F543" s="400"/>
      <c r="G543" s="400"/>
      <c r="H543" s="431"/>
      <c r="I543" s="394"/>
      <c r="J543" s="431"/>
      <c r="K543" s="431"/>
      <c r="L543" s="431"/>
      <c r="M543" s="431"/>
      <c r="N543" s="400"/>
      <c r="O543" s="745"/>
      <c r="P543" s="745"/>
      <c r="Q543" s="745"/>
      <c r="R543" s="745"/>
      <c r="S543" s="745"/>
      <c r="T543" s="745"/>
      <c r="U543" s="745"/>
      <c r="V543" s="745"/>
      <c r="W543" s="745"/>
      <c r="X543" s="745"/>
      <c r="Y543" s="745"/>
      <c r="Z543" s="745"/>
      <c r="AA543" s="745"/>
      <c r="AB543" s="431"/>
      <c r="AC543" s="431"/>
      <c r="AD543" s="400"/>
      <c r="AE543" s="400"/>
      <c r="AF543" s="400"/>
      <c r="AG543" s="281"/>
      <c r="AH543" s="411"/>
      <c r="AI543" s="405"/>
      <c r="AJ543" s="405"/>
      <c r="AK543" s="405"/>
      <c r="AL543" s="405"/>
      <c r="AM543" s="405"/>
      <c r="AN543" s="405"/>
      <c r="AO543" s="405"/>
      <c r="AP543" s="281"/>
      <c r="AQ543" s="292"/>
      <c r="AR543" s="281"/>
      <c r="AS543" s="281"/>
      <c r="AT543" s="281"/>
      <c r="AU543" s="281"/>
      <c r="AV543" s="281"/>
      <c r="AW543" s="281"/>
      <c r="AX543" s="281"/>
      <c r="AY543" s="281"/>
      <c r="AZ543" s="281"/>
      <c r="BA543" s="281"/>
      <c r="BB543" s="281"/>
      <c r="BC543" s="281"/>
      <c r="BD543" s="281"/>
      <c r="BE543" s="281"/>
      <c r="BF543" s="281"/>
      <c r="BG543" s="281"/>
      <c r="BH543" s="281"/>
      <c r="BI543" s="281"/>
      <c r="BJ543" s="281"/>
      <c r="BK543" s="281"/>
      <c r="BL543" s="281"/>
      <c r="BM543" s="281"/>
      <c r="BN543" s="281"/>
      <c r="BO543" s="281"/>
      <c r="BP543" s="281"/>
      <c r="BQ543" s="281"/>
      <c r="BR543" s="281"/>
      <c r="BS543" s="281"/>
      <c r="BT543" s="281"/>
      <c r="BU543" s="281"/>
      <c r="BV543" s="281"/>
      <c r="BW543" s="281"/>
      <c r="BX543" s="281"/>
      <c r="BY543" s="281"/>
      <c r="BZ543" s="281"/>
    </row>
    <row r="544" spans="1:78" x14ac:dyDescent="0.2">
      <c r="A544" s="398"/>
      <c r="B544" s="286"/>
      <c r="C544" s="399"/>
      <c r="D544" s="391"/>
      <c r="E544" s="400"/>
      <c r="F544" s="400"/>
      <c r="G544" s="400"/>
      <c r="H544" s="431"/>
      <c r="I544" s="394"/>
      <c r="J544" s="431"/>
      <c r="K544" s="431"/>
      <c r="L544" s="431"/>
      <c r="M544" s="431"/>
      <c r="N544" s="400"/>
      <c r="O544" s="745"/>
      <c r="P544" s="745"/>
      <c r="Q544" s="745"/>
      <c r="R544" s="745"/>
      <c r="S544" s="745"/>
      <c r="T544" s="745"/>
      <c r="U544" s="745"/>
      <c r="V544" s="745"/>
      <c r="W544" s="745"/>
      <c r="X544" s="745"/>
      <c r="Y544" s="745"/>
      <c r="Z544" s="745"/>
      <c r="AA544" s="745"/>
      <c r="AB544" s="431"/>
      <c r="AC544" s="431"/>
      <c r="AD544" s="400"/>
      <c r="AE544" s="400"/>
      <c r="AF544" s="400"/>
      <c r="AG544" s="281"/>
      <c r="AH544" s="411"/>
      <c r="AI544" s="405"/>
      <c r="AJ544" s="405"/>
      <c r="AK544" s="405"/>
      <c r="AL544" s="405"/>
      <c r="AM544" s="405"/>
      <c r="AN544" s="405"/>
      <c r="AO544" s="405"/>
      <c r="AP544" s="281"/>
      <c r="AQ544" s="292"/>
      <c r="AR544" s="281"/>
      <c r="AS544" s="281"/>
      <c r="AT544" s="281"/>
      <c r="AU544" s="281"/>
      <c r="AV544" s="281"/>
      <c r="AW544" s="281"/>
      <c r="AX544" s="281"/>
      <c r="AY544" s="281"/>
      <c r="AZ544" s="281"/>
      <c r="BA544" s="281"/>
      <c r="BB544" s="281"/>
      <c r="BC544" s="281"/>
      <c r="BD544" s="281"/>
      <c r="BE544" s="281"/>
      <c r="BF544" s="281"/>
      <c r="BG544" s="281"/>
      <c r="BH544" s="281"/>
      <c r="BI544" s="281"/>
      <c r="BJ544" s="281"/>
      <c r="BK544" s="281"/>
      <c r="BL544" s="281"/>
      <c r="BM544" s="281"/>
      <c r="BN544" s="281"/>
      <c r="BO544" s="281"/>
      <c r="BP544" s="281"/>
      <c r="BQ544" s="281"/>
      <c r="BR544" s="281"/>
      <c r="BS544" s="281"/>
      <c r="BT544" s="281"/>
      <c r="BU544" s="281"/>
      <c r="BV544" s="281"/>
      <c r="BW544" s="281"/>
      <c r="BX544" s="281"/>
      <c r="BY544" s="281"/>
      <c r="BZ544" s="281"/>
    </row>
    <row r="545" spans="1:78" x14ac:dyDescent="0.2">
      <c r="A545" s="398"/>
      <c r="B545" s="286"/>
      <c r="C545" s="399"/>
      <c r="D545" s="391"/>
      <c r="E545" s="400"/>
      <c r="F545" s="400"/>
      <c r="G545" s="400"/>
      <c r="H545" s="431"/>
      <c r="I545" s="394"/>
      <c r="J545" s="431"/>
      <c r="K545" s="431"/>
      <c r="L545" s="431"/>
      <c r="M545" s="431"/>
      <c r="N545" s="400"/>
      <c r="O545" s="745"/>
      <c r="P545" s="745"/>
      <c r="Q545" s="745"/>
      <c r="R545" s="745"/>
      <c r="S545" s="745"/>
      <c r="T545" s="745"/>
      <c r="U545" s="745"/>
      <c r="V545" s="745"/>
      <c r="W545" s="745"/>
      <c r="X545" s="745"/>
      <c r="Y545" s="745"/>
      <c r="Z545" s="745"/>
      <c r="AA545" s="745"/>
      <c r="AB545" s="431"/>
      <c r="AC545" s="431"/>
      <c r="AD545" s="400"/>
      <c r="AE545" s="400"/>
      <c r="AF545" s="400"/>
      <c r="AG545" s="281"/>
      <c r="AH545" s="411"/>
      <c r="AI545" s="405"/>
      <c r="AJ545" s="405"/>
      <c r="AK545" s="405"/>
      <c r="AL545" s="405"/>
      <c r="AM545" s="405"/>
      <c r="AN545" s="405"/>
      <c r="AO545" s="405"/>
      <c r="AP545" s="281"/>
      <c r="AQ545" s="292"/>
      <c r="AR545" s="281"/>
      <c r="AS545" s="281"/>
      <c r="AT545" s="281"/>
      <c r="AU545" s="281"/>
      <c r="AV545" s="281"/>
      <c r="AW545" s="281"/>
      <c r="AX545" s="281"/>
      <c r="AY545" s="281"/>
      <c r="AZ545" s="281"/>
      <c r="BA545" s="281"/>
      <c r="BB545" s="281"/>
      <c r="BC545" s="281"/>
      <c r="BD545" s="281"/>
      <c r="BE545" s="281"/>
      <c r="BF545" s="281"/>
      <c r="BG545" s="281"/>
      <c r="BH545" s="281"/>
      <c r="BI545" s="281"/>
      <c r="BJ545" s="281"/>
      <c r="BK545" s="281"/>
      <c r="BL545" s="281"/>
      <c r="BM545" s="281"/>
      <c r="BN545" s="281"/>
      <c r="BO545" s="281"/>
      <c r="BP545" s="281"/>
      <c r="BQ545" s="281"/>
      <c r="BR545" s="281"/>
      <c r="BS545" s="281"/>
      <c r="BT545" s="281"/>
      <c r="BU545" s="281"/>
      <c r="BV545" s="281"/>
      <c r="BW545" s="281"/>
      <c r="BX545" s="281"/>
      <c r="BY545" s="281"/>
      <c r="BZ545" s="281"/>
    </row>
    <row r="546" spans="1:78" x14ac:dyDescent="0.2">
      <c r="A546" s="398"/>
      <c r="B546" s="286"/>
      <c r="C546" s="399"/>
      <c r="D546" s="391"/>
      <c r="E546" s="400"/>
      <c r="F546" s="400"/>
      <c r="G546" s="400"/>
      <c r="H546" s="431"/>
      <c r="I546" s="394"/>
      <c r="J546" s="431"/>
      <c r="K546" s="431"/>
      <c r="L546" s="431"/>
      <c r="M546" s="431"/>
      <c r="N546" s="400"/>
      <c r="O546" s="745"/>
      <c r="P546" s="745"/>
      <c r="Q546" s="745"/>
      <c r="R546" s="745"/>
      <c r="S546" s="745"/>
      <c r="T546" s="745"/>
      <c r="U546" s="745"/>
      <c r="V546" s="745"/>
      <c r="W546" s="745"/>
      <c r="X546" s="745"/>
      <c r="Y546" s="745"/>
      <c r="Z546" s="745"/>
      <c r="AA546" s="745"/>
      <c r="AB546" s="431"/>
      <c r="AC546" s="431"/>
      <c r="AD546" s="400"/>
      <c r="AE546" s="400"/>
      <c r="AF546" s="400"/>
      <c r="AG546" s="281"/>
      <c r="AH546" s="411"/>
      <c r="AI546" s="405"/>
      <c r="AJ546" s="405"/>
      <c r="AK546" s="405"/>
      <c r="AL546" s="405"/>
      <c r="AM546" s="405"/>
      <c r="AN546" s="405"/>
      <c r="AO546" s="405"/>
      <c r="AP546" s="281"/>
      <c r="AQ546" s="292"/>
      <c r="AR546" s="281"/>
      <c r="AS546" s="281"/>
      <c r="AT546" s="281"/>
      <c r="AU546" s="281"/>
      <c r="AV546" s="281"/>
      <c r="AW546" s="281"/>
      <c r="AX546" s="281"/>
      <c r="AY546" s="281"/>
      <c r="AZ546" s="281"/>
      <c r="BA546" s="281"/>
      <c r="BB546" s="281"/>
      <c r="BC546" s="281"/>
      <c r="BD546" s="281"/>
      <c r="BE546" s="281"/>
      <c r="BF546" s="281"/>
      <c r="BG546" s="281"/>
      <c r="BH546" s="281"/>
      <c r="BI546" s="281"/>
      <c r="BJ546" s="281"/>
      <c r="BK546" s="281"/>
      <c r="BL546" s="281"/>
      <c r="BM546" s="281"/>
      <c r="BN546" s="281"/>
      <c r="BO546" s="281"/>
      <c r="BP546" s="281"/>
      <c r="BQ546" s="281"/>
      <c r="BR546" s="281"/>
      <c r="BS546" s="281"/>
      <c r="BT546" s="281"/>
      <c r="BU546" s="281"/>
      <c r="BV546" s="281"/>
      <c r="BW546" s="281"/>
      <c r="BX546" s="281"/>
      <c r="BY546" s="281"/>
      <c r="BZ546" s="281"/>
    </row>
    <row r="547" spans="1:78" x14ac:dyDescent="0.2">
      <c r="A547" s="398"/>
      <c r="B547" s="286"/>
      <c r="C547" s="399"/>
      <c r="D547" s="391"/>
      <c r="E547" s="400"/>
      <c r="F547" s="400"/>
      <c r="G547" s="400"/>
      <c r="H547" s="431"/>
      <c r="I547" s="394"/>
      <c r="J547" s="431"/>
      <c r="K547" s="431"/>
      <c r="L547" s="431"/>
      <c r="M547" s="431"/>
      <c r="N547" s="400"/>
      <c r="O547" s="745"/>
      <c r="P547" s="745"/>
      <c r="Q547" s="745"/>
      <c r="R547" s="745"/>
      <c r="S547" s="745"/>
      <c r="T547" s="745"/>
      <c r="U547" s="745"/>
      <c r="V547" s="745"/>
      <c r="W547" s="745"/>
      <c r="X547" s="745"/>
      <c r="Y547" s="745"/>
      <c r="Z547" s="745"/>
      <c r="AA547" s="745"/>
      <c r="AB547" s="431"/>
      <c r="AC547" s="431"/>
      <c r="AD547" s="400"/>
      <c r="AE547" s="400"/>
      <c r="AF547" s="400"/>
      <c r="AG547" s="281"/>
      <c r="AH547" s="411"/>
      <c r="AI547" s="405"/>
      <c r="AJ547" s="405"/>
      <c r="AK547" s="405"/>
      <c r="AL547" s="405"/>
      <c r="AM547" s="405"/>
      <c r="AN547" s="405"/>
      <c r="AO547" s="405"/>
      <c r="AP547" s="281"/>
      <c r="AQ547" s="292"/>
      <c r="AR547" s="281"/>
      <c r="AS547" s="281"/>
      <c r="AT547" s="281"/>
      <c r="AU547" s="281"/>
      <c r="AV547" s="281"/>
      <c r="AW547" s="281"/>
      <c r="AX547" s="281"/>
      <c r="AY547" s="281"/>
      <c r="AZ547" s="281"/>
      <c r="BA547" s="281"/>
      <c r="BB547" s="281"/>
      <c r="BC547" s="281"/>
      <c r="BD547" s="281"/>
      <c r="BE547" s="281"/>
      <c r="BF547" s="281"/>
      <c r="BG547" s="281"/>
      <c r="BH547" s="281"/>
      <c r="BI547" s="281"/>
      <c r="BJ547" s="281"/>
      <c r="BK547" s="281"/>
      <c r="BL547" s="281"/>
      <c r="BM547" s="281"/>
      <c r="BN547" s="281"/>
      <c r="BO547" s="281"/>
      <c r="BP547" s="281"/>
      <c r="BQ547" s="281"/>
      <c r="BR547" s="281"/>
      <c r="BS547" s="281"/>
      <c r="BT547" s="281"/>
      <c r="BU547" s="281"/>
      <c r="BV547" s="281"/>
      <c r="BW547" s="281"/>
      <c r="BX547" s="281"/>
      <c r="BY547" s="281"/>
      <c r="BZ547" s="281"/>
    </row>
    <row r="548" spans="1:78" x14ac:dyDescent="0.2">
      <c r="A548" s="398"/>
      <c r="B548" s="286"/>
      <c r="C548" s="399"/>
      <c r="D548" s="391"/>
      <c r="E548" s="400"/>
      <c r="F548" s="400"/>
      <c r="G548" s="400"/>
      <c r="H548" s="431"/>
      <c r="I548" s="394"/>
      <c r="J548" s="431"/>
      <c r="K548" s="431"/>
      <c r="L548" s="431"/>
      <c r="M548" s="431"/>
      <c r="N548" s="400"/>
      <c r="O548" s="745"/>
      <c r="P548" s="745"/>
      <c r="Q548" s="745"/>
      <c r="R548" s="745"/>
      <c r="S548" s="745"/>
      <c r="T548" s="745"/>
      <c r="U548" s="745"/>
      <c r="V548" s="745"/>
      <c r="W548" s="745"/>
      <c r="X548" s="745"/>
      <c r="Y548" s="745"/>
      <c r="Z548" s="745"/>
      <c r="AA548" s="745"/>
      <c r="AB548" s="431"/>
      <c r="AC548" s="431"/>
      <c r="AD548" s="400"/>
      <c r="AE548" s="400"/>
      <c r="AF548" s="400"/>
      <c r="AG548" s="281"/>
      <c r="AH548" s="411"/>
      <c r="AI548" s="405"/>
      <c r="AJ548" s="405"/>
      <c r="AK548" s="405"/>
      <c r="AL548" s="405"/>
      <c r="AM548" s="405"/>
      <c r="AN548" s="405"/>
      <c r="AO548" s="405"/>
      <c r="AP548" s="281"/>
      <c r="AQ548" s="292"/>
      <c r="AR548" s="281"/>
      <c r="AS548" s="281"/>
      <c r="AT548" s="281"/>
      <c r="AU548" s="281"/>
      <c r="AV548" s="281"/>
      <c r="AW548" s="281"/>
      <c r="AX548" s="281"/>
      <c r="AY548" s="281"/>
      <c r="AZ548" s="281"/>
      <c r="BA548" s="281"/>
      <c r="BB548" s="281"/>
      <c r="BC548" s="281"/>
      <c r="BD548" s="281"/>
      <c r="BE548" s="281"/>
      <c r="BF548" s="281"/>
      <c r="BG548" s="281"/>
      <c r="BH548" s="281"/>
      <c r="BI548" s="281"/>
      <c r="BJ548" s="281"/>
      <c r="BK548" s="281"/>
      <c r="BL548" s="281"/>
      <c r="BM548" s="281"/>
      <c r="BN548" s="281"/>
      <c r="BO548" s="281"/>
      <c r="BP548" s="281"/>
      <c r="BQ548" s="281"/>
      <c r="BR548" s="281"/>
      <c r="BS548" s="281"/>
      <c r="BT548" s="281"/>
      <c r="BU548" s="281"/>
      <c r="BV548" s="281"/>
      <c r="BW548" s="281"/>
      <c r="BX548" s="281"/>
      <c r="BY548" s="281"/>
      <c r="BZ548" s="281"/>
    </row>
    <row r="549" spans="1:78" x14ac:dyDescent="0.2">
      <c r="A549" s="398"/>
      <c r="B549" s="286"/>
      <c r="C549" s="399"/>
      <c r="D549" s="391"/>
      <c r="E549" s="400"/>
      <c r="F549" s="400"/>
      <c r="G549" s="400"/>
      <c r="H549" s="431"/>
      <c r="I549" s="394"/>
      <c r="J549" s="431"/>
      <c r="K549" s="431"/>
      <c r="L549" s="431"/>
      <c r="M549" s="431"/>
      <c r="N549" s="400"/>
      <c r="O549" s="745"/>
      <c r="P549" s="745"/>
      <c r="Q549" s="745"/>
      <c r="R549" s="745"/>
      <c r="S549" s="745"/>
      <c r="T549" s="745"/>
      <c r="U549" s="745"/>
      <c r="V549" s="745"/>
      <c r="W549" s="745"/>
      <c r="X549" s="745"/>
      <c r="Y549" s="745"/>
      <c r="Z549" s="745"/>
      <c r="AA549" s="745"/>
      <c r="AB549" s="431"/>
      <c r="AC549" s="431"/>
      <c r="AD549" s="400"/>
      <c r="AE549" s="400"/>
      <c r="AF549" s="400"/>
      <c r="AG549" s="281"/>
      <c r="AH549" s="411"/>
      <c r="AI549" s="405"/>
      <c r="AJ549" s="405"/>
      <c r="AK549" s="405"/>
      <c r="AL549" s="405"/>
      <c r="AM549" s="405"/>
      <c r="AN549" s="405"/>
      <c r="AO549" s="405"/>
      <c r="AP549" s="281"/>
      <c r="AQ549" s="292"/>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row>
    <row r="550" spans="1:78" x14ac:dyDescent="0.2">
      <c r="A550" s="398"/>
      <c r="B550" s="286"/>
      <c r="C550" s="399"/>
      <c r="D550" s="391"/>
      <c r="E550" s="400"/>
      <c r="F550" s="400"/>
      <c r="G550" s="400"/>
      <c r="H550" s="431"/>
      <c r="I550" s="394"/>
      <c r="J550" s="431"/>
      <c r="K550" s="431"/>
      <c r="L550" s="431"/>
      <c r="M550" s="431"/>
      <c r="N550" s="400"/>
      <c r="O550" s="745"/>
      <c r="P550" s="745"/>
      <c r="Q550" s="745"/>
      <c r="R550" s="745"/>
      <c r="S550" s="745"/>
      <c r="T550" s="745"/>
      <c r="U550" s="745"/>
      <c r="V550" s="745"/>
      <c r="W550" s="745"/>
      <c r="X550" s="745"/>
      <c r="Y550" s="745"/>
      <c r="Z550" s="745"/>
      <c r="AA550" s="745"/>
      <c r="AB550" s="431"/>
      <c r="AC550" s="431"/>
      <c r="AD550" s="400"/>
      <c r="AE550" s="400"/>
      <c r="AF550" s="400"/>
      <c r="AG550" s="281"/>
      <c r="AH550" s="411"/>
      <c r="AI550" s="405"/>
      <c r="AJ550" s="405"/>
      <c r="AK550" s="405"/>
      <c r="AL550" s="405"/>
      <c r="AM550" s="405"/>
      <c r="AN550" s="405"/>
      <c r="AO550" s="405"/>
      <c r="AP550" s="281"/>
      <c r="AQ550" s="292"/>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row>
    <row r="551" spans="1:78" x14ac:dyDescent="0.2">
      <c r="A551" s="398"/>
      <c r="B551" s="286"/>
      <c r="C551" s="399"/>
      <c r="D551" s="391"/>
      <c r="E551" s="400"/>
      <c r="F551" s="400"/>
      <c r="G551" s="400"/>
      <c r="H551" s="431"/>
      <c r="I551" s="394"/>
      <c r="J551" s="431"/>
      <c r="K551" s="431"/>
      <c r="L551" s="431"/>
      <c r="M551" s="431"/>
      <c r="N551" s="400"/>
      <c r="O551" s="745"/>
      <c r="P551" s="745"/>
      <c r="Q551" s="745"/>
      <c r="R551" s="745"/>
      <c r="S551" s="745"/>
      <c r="T551" s="745"/>
      <c r="U551" s="745"/>
      <c r="V551" s="745"/>
      <c r="W551" s="745"/>
      <c r="X551" s="745"/>
      <c r="Y551" s="745"/>
      <c r="Z551" s="745"/>
      <c r="AA551" s="745"/>
      <c r="AB551" s="431"/>
      <c r="AC551" s="431"/>
      <c r="AD551" s="400"/>
      <c r="AE551" s="400"/>
      <c r="AF551" s="400"/>
      <c r="AG551" s="281"/>
      <c r="AH551" s="411"/>
      <c r="AI551" s="405"/>
      <c r="AJ551" s="405"/>
      <c r="AK551" s="405"/>
      <c r="AL551" s="405"/>
      <c r="AM551" s="405"/>
      <c r="AN551" s="405"/>
      <c r="AO551" s="405"/>
      <c r="AP551" s="281"/>
      <c r="AQ551" s="292"/>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row>
    <row r="552" spans="1:78" x14ac:dyDescent="0.2">
      <c r="A552" s="398"/>
      <c r="B552" s="286"/>
      <c r="C552" s="399"/>
      <c r="D552" s="391"/>
      <c r="E552" s="400"/>
      <c r="F552" s="400"/>
      <c r="G552" s="400"/>
      <c r="H552" s="431"/>
      <c r="I552" s="394"/>
      <c r="J552" s="431"/>
      <c r="K552" s="431"/>
      <c r="L552" s="431"/>
      <c r="M552" s="431"/>
      <c r="N552" s="400"/>
      <c r="O552" s="745"/>
      <c r="P552" s="745"/>
      <c r="Q552" s="745"/>
      <c r="R552" s="745"/>
      <c r="S552" s="745"/>
      <c r="T552" s="745"/>
      <c r="U552" s="745"/>
      <c r="V552" s="745"/>
      <c r="W552" s="745"/>
      <c r="X552" s="745"/>
      <c r="Y552" s="745"/>
      <c r="Z552" s="745"/>
      <c r="AA552" s="745"/>
      <c r="AB552" s="431"/>
      <c r="AC552" s="431"/>
      <c r="AD552" s="400"/>
      <c r="AE552" s="400"/>
      <c r="AF552" s="400"/>
      <c r="AG552" s="281"/>
      <c r="AH552" s="411"/>
      <c r="AI552" s="405"/>
      <c r="AJ552" s="405"/>
      <c r="AK552" s="405"/>
      <c r="AL552" s="405"/>
      <c r="AM552" s="405"/>
      <c r="AN552" s="405"/>
      <c r="AO552" s="405"/>
      <c r="AP552" s="281"/>
      <c r="AQ552" s="292"/>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row>
    <row r="553" spans="1:78" x14ac:dyDescent="0.2">
      <c r="A553" s="398"/>
      <c r="B553" s="286"/>
      <c r="C553" s="399"/>
      <c r="D553" s="391"/>
      <c r="E553" s="400"/>
      <c r="F553" s="400"/>
      <c r="G553" s="400"/>
      <c r="H553" s="431"/>
      <c r="I553" s="394"/>
      <c r="J553" s="431"/>
      <c r="K553" s="431"/>
      <c r="L553" s="431"/>
      <c r="M553" s="431"/>
      <c r="N553" s="400"/>
      <c r="O553" s="745"/>
      <c r="P553" s="745"/>
      <c r="Q553" s="745"/>
      <c r="R553" s="745"/>
      <c r="S553" s="745"/>
      <c r="T553" s="745"/>
      <c r="U553" s="745"/>
      <c r="V553" s="745"/>
      <c r="W553" s="745"/>
      <c r="X553" s="745"/>
      <c r="Y553" s="745"/>
      <c r="Z553" s="745"/>
      <c r="AA553" s="745"/>
      <c r="AB553" s="431"/>
      <c r="AC553" s="431"/>
      <c r="AD553" s="400"/>
      <c r="AE553" s="400"/>
      <c r="AF553" s="400"/>
      <c r="AG553" s="281"/>
      <c r="AH553" s="411"/>
      <c r="AI553" s="405"/>
      <c r="AJ553" s="405"/>
      <c r="AK553" s="405"/>
      <c r="AL553" s="405"/>
      <c r="AM553" s="405"/>
      <c r="AN553" s="405"/>
      <c r="AO553" s="405"/>
      <c r="AP553" s="281"/>
      <c r="AQ553" s="292"/>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row>
    <row r="554" spans="1:78" x14ac:dyDescent="0.2">
      <c r="A554" s="398"/>
      <c r="B554" s="286"/>
      <c r="C554" s="399"/>
      <c r="D554" s="391"/>
      <c r="E554" s="400"/>
      <c r="F554" s="400"/>
      <c r="G554" s="400"/>
      <c r="H554" s="431"/>
      <c r="I554" s="394"/>
      <c r="J554" s="431"/>
      <c r="K554" s="431"/>
      <c r="L554" s="431"/>
      <c r="M554" s="431"/>
      <c r="N554" s="400"/>
      <c r="O554" s="745"/>
      <c r="P554" s="745"/>
      <c r="Q554" s="745"/>
      <c r="R554" s="745"/>
      <c r="S554" s="745"/>
      <c r="T554" s="745"/>
      <c r="U554" s="745"/>
      <c r="V554" s="745"/>
      <c r="W554" s="745"/>
      <c r="X554" s="745"/>
      <c r="Y554" s="745"/>
      <c r="Z554" s="745"/>
      <c r="AA554" s="745"/>
      <c r="AB554" s="431"/>
      <c r="AC554" s="431"/>
      <c r="AD554" s="400"/>
      <c r="AE554" s="400"/>
      <c r="AF554" s="400"/>
      <c r="AG554" s="281"/>
      <c r="AH554" s="411"/>
      <c r="AI554" s="405"/>
      <c r="AJ554" s="405"/>
      <c r="AK554" s="405"/>
      <c r="AL554" s="405"/>
      <c r="AM554" s="405"/>
      <c r="AN554" s="405"/>
      <c r="AO554" s="405"/>
      <c r="AP554" s="281"/>
      <c r="AQ554" s="292"/>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c r="BM554" s="281"/>
      <c r="BN554" s="281"/>
      <c r="BO554" s="281"/>
      <c r="BP554" s="281"/>
      <c r="BQ554" s="281"/>
      <c r="BR554" s="281"/>
      <c r="BS554" s="281"/>
      <c r="BT554" s="281"/>
      <c r="BU554" s="281"/>
      <c r="BV554" s="281"/>
      <c r="BW554" s="281"/>
      <c r="BX554" s="281"/>
      <c r="BY554" s="281"/>
      <c r="BZ554" s="281"/>
    </row>
    <row r="555" spans="1:78" x14ac:dyDescent="0.2">
      <c r="A555" s="398"/>
      <c r="B555" s="286"/>
      <c r="C555" s="399"/>
      <c r="D555" s="391"/>
      <c r="E555" s="400"/>
      <c r="F555" s="400"/>
      <c r="G555" s="400"/>
      <c r="H555" s="431"/>
      <c r="I555" s="394"/>
      <c r="J555" s="431"/>
      <c r="K555" s="431"/>
      <c r="L555" s="431"/>
      <c r="M555" s="431"/>
      <c r="N555" s="400"/>
      <c r="O555" s="745"/>
      <c r="P555" s="745"/>
      <c r="Q555" s="745"/>
      <c r="R555" s="745"/>
      <c r="S555" s="745"/>
      <c r="T555" s="745"/>
      <c r="U555" s="745"/>
      <c r="V555" s="745"/>
      <c r="W555" s="745"/>
      <c r="X555" s="745"/>
      <c r="Y555" s="745"/>
      <c r="Z555" s="745"/>
      <c r="AA555" s="745"/>
      <c r="AB555" s="431"/>
      <c r="AC555" s="431"/>
      <c r="AD555" s="400"/>
      <c r="AE555" s="400"/>
      <c r="AF555" s="400"/>
      <c r="AG555" s="281"/>
      <c r="AH555" s="411"/>
      <c r="AI555" s="405"/>
      <c r="AJ555" s="405"/>
      <c r="AK555" s="405"/>
      <c r="AL555" s="405"/>
      <c r="AM555" s="405"/>
      <c r="AN555" s="405"/>
      <c r="AO555" s="405"/>
      <c r="AP555" s="281"/>
      <c r="AQ555" s="292"/>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row>
    <row r="556" spans="1:78" x14ac:dyDescent="0.2">
      <c r="A556" s="398"/>
      <c r="B556" s="286"/>
      <c r="C556" s="399"/>
      <c r="D556" s="391"/>
      <c r="E556" s="400"/>
      <c r="F556" s="400"/>
      <c r="G556" s="400"/>
      <c r="H556" s="431"/>
      <c r="I556" s="394"/>
      <c r="J556" s="431"/>
      <c r="K556" s="431"/>
      <c r="L556" s="431"/>
      <c r="M556" s="431"/>
      <c r="N556" s="400"/>
      <c r="O556" s="745"/>
      <c r="P556" s="745"/>
      <c r="Q556" s="745"/>
      <c r="R556" s="745"/>
      <c r="S556" s="745"/>
      <c r="T556" s="745"/>
      <c r="U556" s="745"/>
      <c r="V556" s="745"/>
      <c r="W556" s="745"/>
      <c r="X556" s="745"/>
      <c r="Y556" s="745"/>
      <c r="Z556" s="745"/>
      <c r="AA556" s="745"/>
      <c r="AB556" s="431"/>
      <c r="AC556" s="431"/>
      <c r="AD556" s="400"/>
      <c r="AE556" s="400"/>
      <c r="AF556" s="400"/>
      <c r="AG556" s="281"/>
      <c r="AH556" s="411"/>
      <c r="AI556" s="405"/>
      <c r="AJ556" s="405"/>
      <c r="AK556" s="405"/>
      <c r="AL556" s="405"/>
      <c r="AM556" s="405"/>
      <c r="AN556" s="405"/>
      <c r="AO556" s="405"/>
      <c r="AP556" s="281"/>
      <c r="AQ556" s="292"/>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row>
    <row r="557" spans="1:78" x14ac:dyDescent="0.2">
      <c r="A557" s="398"/>
      <c r="B557" s="286"/>
      <c r="C557" s="399"/>
      <c r="D557" s="391"/>
      <c r="E557" s="400"/>
      <c r="F557" s="400"/>
      <c r="G557" s="400"/>
      <c r="H557" s="431"/>
      <c r="I557" s="394"/>
      <c r="J557" s="431"/>
      <c r="K557" s="431"/>
      <c r="L557" s="431"/>
      <c r="M557" s="431"/>
      <c r="N557" s="400"/>
      <c r="O557" s="745"/>
      <c r="P557" s="745"/>
      <c r="Q557" s="745"/>
      <c r="R557" s="745"/>
      <c r="S557" s="745"/>
      <c r="T557" s="745"/>
      <c r="U557" s="745"/>
      <c r="V557" s="745"/>
      <c r="W557" s="745"/>
      <c r="X557" s="745"/>
      <c r="Y557" s="745"/>
      <c r="Z557" s="745"/>
      <c r="AA557" s="745"/>
      <c r="AB557" s="431"/>
      <c r="AC557" s="431"/>
      <c r="AD557" s="400"/>
      <c r="AE557" s="400"/>
      <c r="AF557" s="400"/>
      <c r="AG557" s="281"/>
      <c r="AH557" s="411"/>
      <c r="AI557" s="405"/>
      <c r="AJ557" s="405"/>
      <c r="AK557" s="405"/>
      <c r="AL557" s="405"/>
      <c r="AM557" s="405"/>
      <c r="AN557" s="405"/>
      <c r="AO557" s="405"/>
      <c r="AP557" s="281"/>
      <c r="AQ557" s="292"/>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c r="BM557" s="281"/>
      <c r="BN557" s="281"/>
      <c r="BO557" s="281"/>
      <c r="BP557" s="281"/>
      <c r="BQ557" s="281"/>
      <c r="BR557" s="281"/>
      <c r="BS557" s="281"/>
      <c r="BT557" s="281"/>
      <c r="BU557" s="281"/>
      <c r="BV557" s="281"/>
      <c r="BW557" s="281"/>
      <c r="BX557" s="281"/>
      <c r="BY557" s="281"/>
      <c r="BZ557" s="281"/>
    </row>
    <row r="558" spans="1:78" x14ac:dyDescent="0.2">
      <c r="A558" s="398"/>
      <c r="B558" s="286"/>
      <c r="C558" s="399"/>
      <c r="D558" s="391"/>
      <c r="E558" s="400"/>
      <c r="F558" s="400"/>
      <c r="G558" s="400"/>
      <c r="H558" s="431"/>
      <c r="I558" s="394"/>
      <c r="J558" s="431"/>
      <c r="K558" s="431"/>
      <c r="L558" s="431"/>
      <c r="M558" s="431"/>
      <c r="N558" s="400"/>
      <c r="O558" s="745"/>
      <c r="P558" s="745"/>
      <c r="Q558" s="745"/>
      <c r="R558" s="745"/>
      <c r="S558" s="745"/>
      <c r="T558" s="745"/>
      <c r="U558" s="745"/>
      <c r="V558" s="745"/>
      <c r="W558" s="745"/>
      <c r="X558" s="745"/>
      <c r="Y558" s="745"/>
      <c r="Z558" s="745"/>
      <c r="AA558" s="745"/>
      <c r="AB558" s="431"/>
      <c r="AC558" s="431"/>
      <c r="AD558" s="400"/>
      <c r="AE558" s="400"/>
      <c r="AF558" s="400"/>
      <c r="AG558" s="281"/>
      <c r="AH558" s="411"/>
      <c r="AI558" s="405"/>
      <c r="AJ558" s="405"/>
      <c r="AK558" s="405"/>
      <c r="AL558" s="405"/>
      <c r="AM558" s="405"/>
      <c r="AN558" s="405"/>
      <c r="AO558" s="405"/>
      <c r="AP558" s="281"/>
      <c r="AQ558" s="292"/>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c r="BM558" s="281"/>
      <c r="BN558" s="281"/>
      <c r="BO558" s="281"/>
      <c r="BP558" s="281"/>
      <c r="BQ558" s="281"/>
      <c r="BR558" s="281"/>
      <c r="BS558" s="281"/>
      <c r="BT558" s="281"/>
      <c r="BU558" s="281"/>
      <c r="BV558" s="281"/>
      <c r="BW558" s="281"/>
      <c r="BX558" s="281"/>
      <c r="BY558" s="281"/>
      <c r="BZ558" s="281"/>
    </row>
    <row r="559" spans="1:78" x14ac:dyDescent="0.2">
      <c r="A559" s="398"/>
      <c r="B559" s="286"/>
      <c r="C559" s="399"/>
      <c r="D559" s="391"/>
      <c r="E559" s="400"/>
      <c r="F559" s="400"/>
      <c r="G559" s="400"/>
      <c r="H559" s="431"/>
      <c r="I559" s="394"/>
      <c r="J559" s="431"/>
      <c r="K559" s="431"/>
      <c r="L559" s="431"/>
      <c r="M559" s="431"/>
      <c r="N559" s="400"/>
      <c r="O559" s="745"/>
      <c r="P559" s="745"/>
      <c r="Q559" s="745"/>
      <c r="R559" s="745"/>
      <c r="S559" s="745"/>
      <c r="T559" s="745"/>
      <c r="U559" s="745"/>
      <c r="V559" s="745"/>
      <c r="W559" s="745"/>
      <c r="X559" s="745"/>
      <c r="Y559" s="745"/>
      <c r="Z559" s="745"/>
      <c r="AA559" s="745"/>
      <c r="AB559" s="431"/>
      <c r="AC559" s="431"/>
      <c r="AD559" s="400"/>
      <c r="AE559" s="400"/>
      <c r="AF559" s="400"/>
      <c r="AG559" s="281"/>
      <c r="AH559" s="411"/>
      <c r="AI559" s="405"/>
      <c r="AJ559" s="405"/>
      <c r="AK559" s="405"/>
      <c r="AL559" s="405"/>
      <c r="AM559" s="405"/>
      <c r="AN559" s="405"/>
      <c r="AO559" s="405"/>
      <c r="AP559" s="281"/>
      <c r="AQ559" s="292"/>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1"/>
      <c r="BZ559" s="281"/>
    </row>
    <row r="560" spans="1:78" x14ac:dyDescent="0.2">
      <c r="A560" s="398"/>
      <c r="B560" s="286"/>
      <c r="C560" s="399"/>
      <c r="D560" s="391"/>
      <c r="E560" s="400"/>
      <c r="F560" s="400"/>
      <c r="G560" s="400"/>
      <c r="H560" s="431"/>
      <c r="I560" s="394"/>
      <c r="J560" s="431"/>
      <c r="K560" s="431"/>
      <c r="L560" s="431"/>
      <c r="M560" s="431"/>
      <c r="N560" s="400"/>
      <c r="O560" s="745"/>
      <c r="P560" s="745"/>
      <c r="Q560" s="745"/>
      <c r="R560" s="745"/>
      <c r="S560" s="745"/>
      <c r="T560" s="745"/>
      <c r="U560" s="745"/>
      <c r="V560" s="745"/>
      <c r="W560" s="745"/>
      <c r="X560" s="745"/>
      <c r="Y560" s="745"/>
      <c r="Z560" s="745"/>
      <c r="AA560" s="745"/>
      <c r="AB560" s="431"/>
      <c r="AC560" s="431"/>
      <c r="AD560" s="400"/>
      <c r="AE560" s="400"/>
      <c r="AF560" s="400"/>
      <c r="AG560" s="281"/>
      <c r="AH560" s="411"/>
      <c r="AI560" s="405"/>
      <c r="AJ560" s="405"/>
      <c r="AK560" s="405"/>
      <c r="AL560" s="405"/>
      <c r="AM560" s="405"/>
      <c r="AN560" s="405"/>
      <c r="AO560" s="405"/>
      <c r="AP560" s="281"/>
      <c r="AQ560" s="292"/>
      <c r="AR560" s="281"/>
      <c r="AS560" s="281"/>
      <c r="AT560" s="281"/>
      <c r="AU560" s="281"/>
      <c r="AV560" s="281"/>
      <c r="AW560" s="281"/>
      <c r="AX560" s="281"/>
      <c r="AY560" s="281"/>
      <c r="AZ560" s="281"/>
      <c r="BA560" s="281"/>
      <c r="BB560" s="281"/>
      <c r="BC560" s="281"/>
      <c r="BD560" s="281"/>
      <c r="BE560" s="281"/>
      <c r="BF560" s="281"/>
      <c r="BG560" s="281"/>
      <c r="BH560" s="281"/>
      <c r="BI560" s="281"/>
      <c r="BJ560" s="281"/>
      <c r="BK560" s="281"/>
      <c r="BL560" s="281"/>
      <c r="BM560" s="281"/>
      <c r="BN560" s="281"/>
      <c r="BO560" s="281"/>
      <c r="BP560" s="281"/>
      <c r="BQ560" s="281"/>
      <c r="BR560" s="281"/>
      <c r="BS560" s="281"/>
      <c r="BT560" s="281"/>
      <c r="BU560" s="281"/>
      <c r="BV560" s="281"/>
      <c r="BW560" s="281"/>
      <c r="BX560" s="281"/>
      <c r="BY560" s="281"/>
      <c r="BZ560" s="281"/>
    </row>
    <row r="561" spans="1:78" x14ac:dyDescent="0.2">
      <c r="A561" s="398"/>
      <c r="B561" s="286"/>
      <c r="C561" s="399"/>
      <c r="D561" s="391"/>
      <c r="E561" s="400"/>
      <c r="F561" s="400"/>
      <c r="G561" s="400"/>
      <c r="H561" s="431"/>
      <c r="I561" s="394"/>
      <c r="J561" s="431"/>
      <c r="K561" s="431"/>
      <c r="L561" s="431"/>
      <c r="M561" s="431"/>
      <c r="N561" s="400"/>
      <c r="O561" s="745"/>
      <c r="P561" s="745"/>
      <c r="Q561" s="745"/>
      <c r="R561" s="745"/>
      <c r="S561" s="745"/>
      <c r="T561" s="745"/>
      <c r="U561" s="745"/>
      <c r="V561" s="745"/>
      <c r="W561" s="745"/>
      <c r="X561" s="745"/>
      <c r="Y561" s="745"/>
      <c r="Z561" s="745"/>
      <c r="AA561" s="745"/>
      <c r="AB561" s="431"/>
      <c r="AC561" s="431"/>
      <c r="AD561" s="400"/>
      <c r="AE561" s="400"/>
      <c r="AF561" s="400"/>
      <c r="AG561" s="281"/>
      <c r="AH561" s="411"/>
      <c r="AI561" s="405"/>
      <c r="AJ561" s="405"/>
      <c r="AK561" s="405"/>
      <c r="AL561" s="405"/>
      <c r="AM561" s="405"/>
      <c r="AN561" s="405"/>
      <c r="AO561" s="405"/>
      <c r="AP561" s="281"/>
      <c r="AQ561" s="292"/>
      <c r="AR561" s="281"/>
      <c r="AS561" s="281"/>
      <c r="AT561" s="281"/>
      <c r="AU561" s="281"/>
      <c r="AV561" s="281"/>
      <c r="AW561" s="281"/>
      <c r="AX561" s="281"/>
      <c r="AY561" s="281"/>
      <c r="AZ561" s="281"/>
      <c r="BA561" s="281"/>
      <c r="BB561" s="281"/>
      <c r="BC561" s="281"/>
      <c r="BD561" s="281"/>
      <c r="BE561" s="281"/>
      <c r="BF561" s="281"/>
      <c r="BG561" s="281"/>
      <c r="BH561" s="281"/>
      <c r="BI561" s="281"/>
      <c r="BJ561" s="281"/>
      <c r="BK561" s="281"/>
      <c r="BL561" s="281"/>
      <c r="BM561" s="281"/>
      <c r="BN561" s="281"/>
      <c r="BO561" s="281"/>
      <c r="BP561" s="281"/>
      <c r="BQ561" s="281"/>
      <c r="BR561" s="281"/>
      <c r="BS561" s="281"/>
      <c r="BT561" s="281"/>
      <c r="BU561" s="281"/>
      <c r="BV561" s="281"/>
      <c r="BW561" s="281"/>
      <c r="BX561" s="281"/>
      <c r="BY561" s="281"/>
      <c r="BZ561" s="281"/>
    </row>
  </sheetData>
  <sheetProtection formatColumns="0" insertColumns="0" insertRows="0" pivotTables="0"/>
  <dataConsolidate/>
  <mergeCells count="922">
    <mergeCell ref="AD1:AF1"/>
    <mergeCell ref="O1:R1"/>
    <mergeCell ref="Z130:Z131"/>
    <mergeCell ref="AA130:AA131"/>
    <mergeCell ref="Z120:Z121"/>
    <mergeCell ref="AA120:AA121"/>
    <mergeCell ref="Z122:Z123"/>
    <mergeCell ref="AA122:AA123"/>
    <mergeCell ref="Z124:Z125"/>
    <mergeCell ref="AA124:AA125"/>
    <mergeCell ref="Z126:Z127"/>
    <mergeCell ref="AA126:AA127"/>
    <mergeCell ref="Z128:Z129"/>
    <mergeCell ref="AA128:AA129"/>
    <mergeCell ref="Z110:Z111"/>
    <mergeCell ref="AA110:AA111"/>
    <mergeCell ref="Z112:Z113"/>
    <mergeCell ref="AA112:AA113"/>
    <mergeCell ref="Z114:Z115"/>
    <mergeCell ref="AA114:AA115"/>
    <mergeCell ref="Z116:Z117"/>
    <mergeCell ref="AA116:AA117"/>
    <mergeCell ref="Z118:Z119"/>
    <mergeCell ref="AA118:AA119"/>
    <mergeCell ref="Z98:Z99"/>
    <mergeCell ref="AA98:AA99"/>
    <mergeCell ref="Z100:Z101"/>
    <mergeCell ref="AA100:AA101"/>
    <mergeCell ref="Z102:Z103"/>
    <mergeCell ref="AA102:AA103"/>
    <mergeCell ref="Z104:Z105"/>
    <mergeCell ref="AA104:AA105"/>
    <mergeCell ref="Z106:Z107"/>
    <mergeCell ref="AA106:AA107"/>
    <mergeCell ref="Z88:Z89"/>
    <mergeCell ref="AA88:AA89"/>
    <mergeCell ref="Z90:Z91"/>
    <mergeCell ref="AA90:AA91"/>
    <mergeCell ref="Z92:Z93"/>
    <mergeCell ref="AA92:AA93"/>
    <mergeCell ref="Z94:Z95"/>
    <mergeCell ref="AA94:AA95"/>
    <mergeCell ref="Z96:Z97"/>
    <mergeCell ref="AA96:AA97"/>
    <mergeCell ref="Z78:Z79"/>
    <mergeCell ref="AA78:AA79"/>
    <mergeCell ref="Z80:Z81"/>
    <mergeCell ref="AA80:AA81"/>
    <mergeCell ref="Z82:Z83"/>
    <mergeCell ref="AA82:AA83"/>
    <mergeCell ref="Z84:Z85"/>
    <mergeCell ref="AA84:AA85"/>
    <mergeCell ref="Z86:Z87"/>
    <mergeCell ref="AA86:AA87"/>
    <mergeCell ref="Z68:Z69"/>
    <mergeCell ref="AA68:AA69"/>
    <mergeCell ref="Z70:Z71"/>
    <mergeCell ref="AA70:AA71"/>
    <mergeCell ref="Z72:Z73"/>
    <mergeCell ref="AA72:AA73"/>
    <mergeCell ref="Z74:Z75"/>
    <mergeCell ref="AA74:AA75"/>
    <mergeCell ref="Z76:Z77"/>
    <mergeCell ref="AA76:AA77"/>
    <mergeCell ref="AA58:AA59"/>
    <mergeCell ref="Z60:Z61"/>
    <mergeCell ref="AA60:AA61"/>
    <mergeCell ref="Z62:Z63"/>
    <mergeCell ref="AA62:AA63"/>
    <mergeCell ref="Z64:Z65"/>
    <mergeCell ref="AA64:AA65"/>
    <mergeCell ref="Z66:Z67"/>
    <mergeCell ref="AA66:AA67"/>
    <mergeCell ref="Q130:Q131"/>
    <mergeCell ref="R130:R131"/>
    <mergeCell ref="Z29:Z30"/>
    <mergeCell ref="AA29:AA30"/>
    <mergeCell ref="Z31:Z32"/>
    <mergeCell ref="AA31:AA32"/>
    <mergeCell ref="Z33:Z34"/>
    <mergeCell ref="AA33:AA34"/>
    <mergeCell ref="Z35:Z36"/>
    <mergeCell ref="AA35:AA36"/>
    <mergeCell ref="X37:X38"/>
    <mergeCell ref="Y37:Y38"/>
    <mergeCell ref="Z37:Z38"/>
    <mergeCell ref="AA37:AA38"/>
    <mergeCell ref="Z39:Z40"/>
    <mergeCell ref="AA39:AA40"/>
    <mergeCell ref="Z41:Z42"/>
    <mergeCell ref="AA41:AA42"/>
    <mergeCell ref="Z43:Z44"/>
    <mergeCell ref="AA43:AA44"/>
    <mergeCell ref="Z46:Z47"/>
    <mergeCell ref="AA46:AA47"/>
    <mergeCell ref="Z48:Z49"/>
    <mergeCell ref="AA48:AA49"/>
    <mergeCell ref="P124:P125"/>
    <mergeCell ref="Q124:Q125"/>
    <mergeCell ref="R124:R125"/>
    <mergeCell ref="P126:P127"/>
    <mergeCell ref="Q126:Q127"/>
    <mergeCell ref="R126:R127"/>
    <mergeCell ref="P128:P129"/>
    <mergeCell ref="Q128:Q129"/>
    <mergeCell ref="R128:R129"/>
    <mergeCell ref="P118:P119"/>
    <mergeCell ref="Q118:Q119"/>
    <mergeCell ref="R118:R119"/>
    <mergeCell ref="P120:P121"/>
    <mergeCell ref="Q120:Q121"/>
    <mergeCell ref="R120:R121"/>
    <mergeCell ref="P122:P123"/>
    <mergeCell ref="Q122:Q123"/>
    <mergeCell ref="R122:R123"/>
    <mergeCell ref="P112:P113"/>
    <mergeCell ref="Q112:Q113"/>
    <mergeCell ref="R112:R113"/>
    <mergeCell ref="P114:P115"/>
    <mergeCell ref="Q114:Q115"/>
    <mergeCell ref="R114:R115"/>
    <mergeCell ref="P116:P117"/>
    <mergeCell ref="Q116:Q117"/>
    <mergeCell ref="R116:R117"/>
    <mergeCell ref="P106:P107"/>
    <mergeCell ref="Q106:Q107"/>
    <mergeCell ref="R106:R107"/>
    <mergeCell ref="P108:P109"/>
    <mergeCell ref="Q108:Q109"/>
    <mergeCell ref="R108:R109"/>
    <mergeCell ref="P110:P111"/>
    <mergeCell ref="Q110:Q111"/>
    <mergeCell ref="R110:R111"/>
    <mergeCell ref="Q98:Q99"/>
    <mergeCell ref="R98:R99"/>
    <mergeCell ref="P100:P101"/>
    <mergeCell ref="Q100:Q101"/>
    <mergeCell ref="R100:R101"/>
    <mergeCell ref="P102:P103"/>
    <mergeCell ref="Q102:Q103"/>
    <mergeCell ref="R102:R103"/>
    <mergeCell ref="P104:P105"/>
    <mergeCell ref="Q104:Q105"/>
    <mergeCell ref="R104:R105"/>
    <mergeCell ref="P88:P89"/>
    <mergeCell ref="Q88:Q89"/>
    <mergeCell ref="R88:R89"/>
    <mergeCell ref="P90:P91"/>
    <mergeCell ref="Q90:Q91"/>
    <mergeCell ref="R90:R91"/>
    <mergeCell ref="P92:P93"/>
    <mergeCell ref="Q92:Q93"/>
    <mergeCell ref="R92:R93"/>
    <mergeCell ref="P82:P83"/>
    <mergeCell ref="Q82:Q83"/>
    <mergeCell ref="R82:R83"/>
    <mergeCell ref="P84:P85"/>
    <mergeCell ref="Q84:Q85"/>
    <mergeCell ref="R84:R85"/>
    <mergeCell ref="P86:P87"/>
    <mergeCell ref="Q86:Q87"/>
    <mergeCell ref="R86:R87"/>
    <mergeCell ref="P76:P77"/>
    <mergeCell ref="Q76:Q77"/>
    <mergeCell ref="R76:R77"/>
    <mergeCell ref="P78:P79"/>
    <mergeCell ref="Q78:Q79"/>
    <mergeCell ref="R78:R79"/>
    <mergeCell ref="P80:P81"/>
    <mergeCell ref="Q80:Q81"/>
    <mergeCell ref="R80:R81"/>
    <mergeCell ref="Q68:Q69"/>
    <mergeCell ref="R68:R69"/>
    <mergeCell ref="P70:P71"/>
    <mergeCell ref="Q70:Q71"/>
    <mergeCell ref="R70:R71"/>
    <mergeCell ref="P72:P73"/>
    <mergeCell ref="Q72:Q73"/>
    <mergeCell ref="R72:R73"/>
    <mergeCell ref="P74:P75"/>
    <mergeCell ref="Q74:Q75"/>
    <mergeCell ref="R74:R75"/>
    <mergeCell ref="P60:P61"/>
    <mergeCell ref="Q60:Q61"/>
    <mergeCell ref="R60:R61"/>
    <mergeCell ref="P62:P63"/>
    <mergeCell ref="Q62:Q63"/>
    <mergeCell ref="R62:R63"/>
    <mergeCell ref="P64:P65"/>
    <mergeCell ref="Q64:Q65"/>
    <mergeCell ref="R64:R65"/>
    <mergeCell ref="P54:P55"/>
    <mergeCell ref="Q54:Q55"/>
    <mergeCell ref="R54:R55"/>
    <mergeCell ref="P56:P57"/>
    <mergeCell ref="Q56:Q57"/>
    <mergeCell ref="R56:R57"/>
    <mergeCell ref="P58:P59"/>
    <mergeCell ref="Q58:Q59"/>
    <mergeCell ref="R58:R59"/>
    <mergeCell ref="P48:P49"/>
    <mergeCell ref="Q48:Q49"/>
    <mergeCell ref="R48:R49"/>
    <mergeCell ref="P50:P51"/>
    <mergeCell ref="Q50:Q51"/>
    <mergeCell ref="R50:R51"/>
    <mergeCell ref="P52:P53"/>
    <mergeCell ref="Q52:Q53"/>
    <mergeCell ref="R52:R53"/>
    <mergeCell ref="P41:P42"/>
    <mergeCell ref="Q41:Q42"/>
    <mergeCell ref="R41:R42"/>
    <mergeCell ref="P43:P44"/>
    <mergeCell ref="Q43:Q44"/>
    <mergeCell ref="R43:R44"/>
    <mergeCell ref="P46:P47"/>
    <mergeCell ref="Q46:Q47"/>
    <mergeCell ref="R46:R47"/>
    <mergeCell ref="P35:P36"/>
    <mergeCell ref="Q35:Q36"/>
    <mergeCell ref="R35:R36"/>
    <mergeCell ref="P37:P38"/>
    <mergeCell ref="Q37:Q38"/>
    <mergeCell ref="R37:R38"/>
    <mergeCell ref="P39:P40"/>
    <mergeCell ref="Q39:Q40"/>
    <mergeCell ref="R39:R40"/>
    <mergeCell ref="P29:P30"/>
    <mergeCell ref="Q29:Q30"/>
    <mergeCell ref="R29:R30"/>
    <mergeCell ref="P31:P32"/>
    <mergeCell ref="Q31:Q32"/>
    <mergeCell ref="R31:R32"/>
    <mergeCell ref="P33:P34"/>
    <mergeCell ref="Q33:Q34"/>
    <mergeCell ref="R33:R34"/>
    <mergeCell ref="T86:T87"/>
    <mergeCell ref="U86:U87"/>
    <mergeCell ref="W84:W85"/>
    <mergeCell ref="O88:O89"/>
    <mergeCell ref="O86:O87"/>
    <mergeCell ref="U92:U93"/>
    <mergeCell ref="U88:U89"/>
    <mergeCell ref="T64:T65"/>
    <mergeCell ref="U64:U65"/>
    <mergeCell ref="W86:W87"/>
    <mergeCell ref="O92:O93"/>
    <mergeCell ref="T88:T89"/>
    <mergeCell ref="U90:U91"/>
    <mergeCell ref="V90:V91"/>
    <mergeCell ref="W90:W91"/>
    <mergeCell ref="V86:V87"/>
    <mergeCell ref="W82:W83"/>
    <mergeCell ref="V82:V83"/>
    <mergeCell ref="U68:U69"/>
    <mergeCell ref="U70:U71"/>
    <mergeCell ref="P66:P67"/>
    <mergeCell ref="Q66:Q67"/>
    <mergeCell ref="R66:R67"/>
    <mergeCell ref="P68:P69"/>
    <mergeCell ref="O112:O113"/>
    <mergeCell ref="O116:O117"/>
    <mergeCell ref="O120:O121"/>
    <mergeCell ref="O122:O123"/>
    <mergeCell ref="O124:O125"/>
    <mergeCell ref="O126:O127"/>
    <mergeCell ref="O128:O129"/>
    <mergeCell ref="O130:O131"/>
    <mergeCell ref="O118:O119"/>
    <mergeCell ref="O114:O115"/>
    <mergeCell ref="O106:O107"/>
    <mergeCell ref="O96:O97"/>
    <mergeCell ref="T110:T111"/>
    <mergeCell ref="G46:G47"/>
    <mergeCell ref="G48:G49"/>
    <mergeCell ref="O46:O47"/>
    <mergeCell ref="I58:I59"/>
    <mergeCell ref="O54:O55"/>
    <mergeCell ref="O50:O51"/>
    <mergeCell ref="T96:T97"/>
    <mergeCell ref="T90:T91"/>
    <mergeCell ref="T92:T93"/>
    <mergeCell ref="T100:T101"/>
    <mergeCell ref="T108:T109"/>
    <mergeCell ref="I62:I63"/>
    <mergeCell ref="I68:I69"/>
    <mergeCell ref="I72:I73"/>
    <mergeCell ref="I66:I67"/>
    <mergeCell ref="I64:I65"/>
    <mergeCell ref="G50:G51"/>
    <mergeCell ref="T106:T107"/>
    <mergeCell ref="T68:T69"/>
    <mergeCell ref="T70:T71"/>
    <mergeCell ref="T72:T73"/>
    <mergeCell ref="P130:P131"/>
    <mergeCell ref="I108:I109"/>
    <mergeCell ref="O108:O109"/>
    <mergeCell ref="G110:G111"/>
    <mergeCell ref="I110:I111"/>
    <mergeCell ref="O110:O111"/>
    <mergeCell ref="O90:O91"/>
    <mergeCell ref="I96:I97"/>
    <mergeCell ref="I98:I99"/>
    <mergeCell ref="I112:I113"/>
    <mergeCell ref="I130:I131"/>
    <mergeCell ref="G96:G97"/>
    <mergeCell ref="G128:G129"/>
    <mergeCell ref="G130:G131"/>
    <mergeCell ref="G112:G113"/>
    <mergeCell ref="G114:G115"/>
    <mergeCell ref="G116:G117"/>
    <mergeCell ref="G98:G99"/>
    <mergeCell ref="G100:G101"/>
    <mergeCell ref="G102:G103"/>
    <mergeCell ref="G126:G127"/>
    <mergeCell ref="G104:G105"/>
    <mergeCell ref="G124:G125"/>
    <mergeCell ref="G106:G107"/>
    <mergeCell ref="G29:G30"/>
    <mergeCell ref="I29:I30"/>
    <mergeCell ref="O58:O59"/>
    <mergeCell ref="Y58:Y59"/>
    <mergeCell ref="O60:O61"/>
    <mergeCell ref="Y60:Y61"/>
    <mergeCell ref="O64:O65"/>
    <mergeCell ref="Y64:Y65"/>
    <mergeCell ref="O31:O32"/>
    <mergeCell ref="Y31:Y32"/>
    <mergeCell ref="O33:O34"/>
    <mergeCell ref="Y33:Y34"/>
    <mergeCell ref="O35:O36"/>
    <mergeCell ref="Y35:Y36"/>
    <mergeCell ref="O39:O40"/>
    <mergeCell ref="Y39:Y40"/>
    <mergeCell ref="O41:O42"/>
    <mergeCell ref="Y41:Y42"/>
    <mergeCell ref="U56:U57"/>
    <mergeCell ref="U58:U59"/>
    <mergeCell ref="V52:V53"/>
    <mergeCell ref="W52:W53"/>
    <mergeCell ref="V54:V55"/>
    <mergeCell ref="W54:W55"/>
    <mergeCell ref="O100:O101"/>
    <mergeCell ref="X96:X97"/>
    <mergeCell ref="X94:X95"/>
    <mergeCell ref="W94:W95"/>
    <mergeCell ref="X90:X91"/>
    <mergeCell ref="X92:X93"/>
    <mergeCell ref="U96:U97"/>
    <mergeCell ref="V96:V97"/>
    <mergeCell ref="W96:W97"/>
    <mergeCell ref="T98:T99"/>
    <mergeCell ref="U98:U99"/>
    <mergeCell ref="V98:V99"/>
    <mergeCell ref="W98:W99"/>
    <mergeCell ref="T94:T95"/>
    <mergeCell ref="U94:U95"/>
    <mergeCell ref="V94:V95"/>
    <mergeCell ref="O98:O99"/>
    <mergeCell ref="P94:P95"/>
    <mergeCell ref="Q94:Q95"/>
    <mergeCell ref="R94:R95"/>
    <mergeCell ref="P96:P97"/>
    <mergeCell ref="Q96:Q97"/>
    <mergeCell ref="R96:R97"/>
    <mergeCell ref="P98:P99"/>
    <mergeCell ref="O102:O103"/>
    <mergeCell ref="Y102:Y103"/>
    <mergeCell ref="T104:T105"/>
    <mergeCell ref="U104:U105"/>
    <mergeCell ref="V104:V105"/>
    <mergeCell ref="W104:W105"/>
    <mergeCell ref="O104:O105"/>
    <mergeCell ref="Y104:Y105"/>
    <mergeCell ref="T102:T103"/>
    <mergeCell ref="X102:X103"/>
    <mergeCell ref="X104:X105"/>
    <mergeCell ref="U102:U103"/>
    <mergeCell ref="V102:V103"/>
    <mergeCell ref="W102:W103"/>
    <mergeCell ref="V130:V131"/>
    <mergeCell ref="W130:W131"/>
    <mergeCell ref="T124:T125"/>
    <mergeCell ref="T128:T129"/>
    <mergeCell ref="U128:U129"/>
    <mergeCell ref="T112:T113"/>
    <mergeCell ref="U112:U113"/>
    <mergeCell ref="V112:V113"/>
    <mergeCell ref="W112:W113"/>
    <mergeCell ref="T114:T115"/>
    <mergeCell ref="U114:U115"/>
    <mergeCell ref="V114:V115"/>
    <mergeCell ref="W114:W115"/>
    <mergeCell ref="V116:V117"/>
    <mergeCell ref="W116:W117"/>
    <mergeCell ref="T118:T119"/>
    <mergeCell ref="U118:U119"/>
    <mergeCell ref="V118:V119"/>
    <mergeCell ref="W118:W119"/>
    <mergeCell ref="T126:T127"/>
    <mergeCell ref="U124:U125"/>
    <mergeCell ref="U126:U127"/>
    <mergeCell ref="Y130:Y131"/>
    <mergeCell ref="T130:T131"/>
    <mergeCell ref="T116:T117"/>
    <mergeCell ref="U116:U117"/>
    <mergeCell ref="T120:T121"/>
    <mergeCell ref="U120:U121"/>
    <mergeCell ref="V120:V121"/>
    <mergeCell ref="Y118:Y119"/>
    <mergeCell ref="Y120:Y121"/>
    <mergeCell ref="Y122:Y123"/>
    <mergeCell ref="Y124:Y125"/>
    <mergeCell ref="Y126:Y127"/>
    <mergeCell ref="X118:X119"/>
    <mergeCell ref="X120:X121"/>
    <mergeCell ref="X122:X123"/>
    <mergeCell ref="X124:X125"/>
    <mergeCell ref="T122:T123"/>
    <mergeCell ref="U122:U123"/>
    <mergeCell ref="V122:V123"/>
    <mergeCell ref="W122:W123"/>
    <mergeCell ref="V128:V129"/>
    <mergeCell ref="W128:W129"/>
    <mergeCell ref="W120:W121"/>
    <mergeCell ref="U130:U131"/>
    <mergeCell ref="X88:X89"/>
    <mergeCell ref="V92:V93"/>
    <mergeCell ref="W92:W93"/>
    <mergeCell ref="Y90:Y91"/>
    <mergeCell ref="Y92:Y93"/>
    <mergeCell ref="Y96:Y97"/>
    <mergeCell ref="Y88:Y89"/>
    <mergeCell ref="V68:V69"/>
    <mergeCell ref="W68:W69"/>
    <mergeCell ref="V70:V71"/>
    <mergeCell ref="W70:W71"/>
    <mergeCell ref="Y68:Y69"/>
    <mergeCell ref="V88:V89"/>
    <mergeCell ref="W88:W89"/>
    <mergeCell ref="X86:X87"/>
    <mergeCell ref="Y86:Y87"/>
    <mergeCell ref="Y80:Y81"/>
    <mergeCell ref="Y82:Y83"/>
    <mergeCell ref="AD76:AD77"/>
    <mergeCell ref="AF58:AF59"/>
    <mergeCell ref="AF60:AF61"/>
    <mergeCell ref="AF64:AF65"/>
    <mergeCell ref="AF74:AF75"/>
    <mergeCell ref="V48:V49"/>
    <mergeCell ref="Y48:Y49"/>
    <mergeCell ref="Y54:Y55"/>
    <mergeCell ref="Y70:Y71"/>
    <mergeCell ref="V58:V59"/>
    <mergeCell ref="W58:W59"/>
    <mergeCell ref="Y50:Y51"/>
    <mergeCell ref="Y52:Y53"/>
    <mergeCell ref="AE64:AE65"/>
    <mergeCell ref="AE66:AE67"/>
    <mergeCell ref="Z50:Z51"/>
    <mergeCell ref="AA50:AA51"/>
    <mergeCell ref="Z52:Z53"/>
    <mergeCell ref="AA52:AA53"/>
    <mergeCell ref="Z54:Z55"/>
    <mergeCell ref="AA54:AA55"/>
    <mergeCell ref="Z56:Z57"/>
    <mergeCell ref="AA56:AA57"/>
    <mergeCell ref="Z58:Z59"/>
    <mergeCell ref="AD46:AD47"/>
    <mergeCell ref="AD48:AD49"/>
    <mergeCell ref="AF66:AF67"/>
    <mergeCell ref="AE62:AE63"/>
    <mergeCell ref="AF62:AF63"/>
    <mergeCell ref="AD50:AD51"/>
    <mergeCell ref="AD74:AD75"/>
    <mergeCell ref="AD62:AD63"/>
    <mergeCell ref="AF56:AF57"/>
    <mergeCell ref="AE58:AE59"/>
    <mergeCell ref="AE46:AE47"/>
    <mergeCell ref="AF46:AF47"/>
    <mergeCell ref="AE128:AE129"/>
    <mergeCell ref="AF128:AF129"/>
    <mergeCell ref="AE112:AE113"/>
    <mergeCell ref="AF112:AF113"/>
    <mergeCell ref="X128:X129"/>
    <mergeCell ref="Y94:Y95"/>
    <mergeCell ref="X114:X115"/>
    <mergeCell ref="X116:X117"/>
    <mergeCell ref="Y112:Y113"/>
    <mergeCell ref="X106:X107"/>
    <mergeCell ref="Y114:Y115"/>
    <mergeCell ref="Y116:Y117"/>
    <mergeCell ref="Y106:Y107"/>
    <mergeCell ref="Y110:Y111"/>
    <mergeCell ref="X108:X109"/>
    <mergeCell ref="Y108:Y109"/>
    <mergeCell ref="Y128:Y129"/>
    <mergeCell ref="Y100:Y101"/>
    <mergeCell ref="X126:X127"/>
    <mergeCell ref="X98:X99"/>
    <mergeCell ref="X100:X101"/>
    <mergeCell ref="Y98:Y99"/>
    <mergeCell ref="X110:X111"/>
    <mergeCell ref="AE102:AE103"/>
    <mergeCell ref="AF120:AF121"/>
    <mergeCell ref="AF124:AF125"/>
    <mergeCell ref="AE126:AE127"/>
    <mergeCell ref="AE118:AE119"/>
    <mergeCell ref="AF118:AF119"/>
    <mergeCell ref="U106:U107"/>
    <mergeCell ref="U108:U109"/>
    <mergeCell ref="U100:U101"/>
    <mergeCell ref="AF126:AF127"/>
    <mergeCell ref="V106:V107"/>
    <mergeCell ref="W106:W107"/>
    <mergeCell ref="V108:V109"/>
    <mergeCell ref="W108:W109"/>
    <mergeCell ref="V124:V125"/>
    <mergeCell ref="W124:W125"/>
    <mergeCell ref="V126:V127"/>
    <mergeCell ref="W126:W127"/>
    <mergeCell ref="U110:U111"/>
    <mergeCell ref="V100:V101"/>
    <mergeCell ref="W100:W101"/>
    <mergeCell ref="V110:V111"/>
    <mergeCell ref="W110:W111"/>
    <mergeCell ref="Z108:Z109"/>
    <mergeCell ref="AA108:AA109"/>
    <mergeCell ref="AG80:AG81"/>
    <mergeCell ref="AG82:AG83"/>
    <mergeCell ref="AG72:AG73"/>
    <mergeCell ref="AG33:AG34"/>
    <mergeCell ref="AG58:AG59"/>
    <mergeCell ref="AG64:AG65"/>
    <mergeCell ref="AG43:AG44"/>
    <mergeCell ref="AG60:AG61"/>
    <mergeCell ref="AG41:AG42"/>
    <mergeCell ref="AG46:AG47"/>
    <mergeCell ref="AG48:AG49"/>
    <mergeCell ref="AG50:AG51"/>
    <mergeCell ref="AG52:AG53"/>
    <mergeCell ref="AG54:AG55"/>
    <mergeCell ref="AG56:AG57"/>
    <mergeCell ref="AG37:AG38"/>
    <mergeCell ref="AG66:AG67"/>
    <mergeCell ref="AG76:AG77"/>
    <mergeCell ref="AG74:AG75"/>
    <mergeCell ref="AG68:AG69"/>
    <mergeCell ref="AG70:AG71"/>
    <mergeCell ref="AG78:AG79"/>
    <mergeCell ref="AG130:AG131"/>
    <mergeCell ref="AG96:AG97"/>
    <mergeCell ref="AG98:AG99"/>
    <mergeCell ref="AG100:AG101"/>
    <mergeCell ref="AG102:AG103"/>
    <mergeCell ref="AG104:AG105"/>
    <mergeCell ref="AG84:AG85"/>
    <mergeCell ref="AG86:AG87"/>
    <mergeCell ref="AG88:AG89"/>
    <mergeCell ref="AG90:AG91"/>
    <mergeCell ref="AG92:AG93"/>
    <mergeCell ref="AG114:AG115"/>
    <mergeCell ref="AG116:AG117"/>
    <mergeCell ref="AG118:AG119"/>
    <mergeCell ref="AG120:AG121"/>
    <mergeCell ref="AG122:AG123"/>
    <mergeCell ref="AG124:AG125"/>
    <mergeCell ref="AG94:AG95"/>
    <mergeCell ref="AG106:AG107"/>
    <mergeCell ref="AG108:AG109"/>
    <mergeCell ref="AG110:AG111"/>
    <mergeCell ref="AG128:AG129"/>
    <mergeCell ref="AG126:AG127"/>
    <mergeCell ref="AG112:AG113"/>
    <mergeCell ref="O56:O57"/>
    <mergeCell ref="O78:O79"/>
    <mergeCell ref="Y66:Y67"/>
    <mergeCell ref="T66:T67"/>
    <mergeCell ref="U66:U67"/>
    <mergeCell ref="V66:V67"/>
    <mergeCell ref="W66:W67"/>
    <mergeCell ref="U72:U73"/>
    <mergeCell ref="X66:X67"/>
    <mergeCell ref="X68:X69"/>
    <mergeCell ref="X76:X77"/>
    <mergeCell ref="Y74:Y75"/>
    <mergeCell ref="Y62:Y63"/>
    <mergeCell ref="X64:X65"/>
    <mergeCell ref="X62:X63"/>
    <mergeCell ref="V72:V73"/>
    <mergeCell ref="Y76:Y77"/>
    <mergeCell ref="X78:X79"/>
    <mergeCell ref="O68:O69"/>
    <mergeCell ref="Y72:Y73"/>
    <mergeCell ref="T78:T79"/>
    <mergeCell ref="U78:U79"/>
    <mergeCell ref="V78:V79"/>
    <mergeCell ref="W78:W79"/>
    <mergeCell ref="I33:I34"/>
    <mergeCell ref="AD33:AD34"/>
    <mergeCell ref="I126:I127"/>
    <mergeCell ref="I128:I129"/>
    <mergeCell ref="I114:I115"/>
    <mergeCell ref="I116:I117"/>
    <mergeCell ref="I118:I119"/>
    <mergeCell ref="I120:I121"/>
    <mergeCell ref="I104:I105"/>
    <mergeCell ref="I106:I107"/>
    <mergeCell ref="AD72:AD73"/>
    <mergeCell ref="AD78:AD79"/>
    <mergeCell ref="AD98:AD99"/>
    <mergeCell ref="AD100:AD101"/>
    <mergeCell ref="AD80:AD81"/>
    <mergeCell ref="AD82:AD83"/>
    <mergeCell ref="I124:I125"/>
    <mergeCell ref="I56:I57"/>
    <mergeCell ref="AD56:AD57"/>
    <mergeCell ref="AD58:AD59"/>
    <mergeCell ref="Y46:Y47"/>
    <mergeCell ref="I100:I101"/>
    <mergeCell ref="Y56:Y57"/>
    <mergeCell ref="I122:I123"/>
    <mergeCell ref="G52:G53"/>
    <mergeCell ref="G35:G36"/>
    <mergeCell ref="G39:G40"/>
    <mergeCell ref="G41:G42"/>
    <mergeCell ref="G43:G44"/>
    <mergeCell ref="G60:G61"/>
    <mergeCell ref="G37:G38"/>
    <mergeCell ref="I41:I42"/>
    <mergeCell ref="I43:I44"/>
    <mergeCell ref="I60:I61"/>
    <mergeCell ref="I50:I51"/>
    <mergeCell ref="I52:I53"/>
    <mergeCell ref="I46:I47"/>
    <mergeCell ref="I48:I49"/>
    <mergeCell ref="I54:I55"/>
    <mergeCell ref="G54:G55"/>
    <mergeCell ref="G56:G57"/>
    <mergeCell ref="G58:G59"/>
    <mergeCell ref="I35:I36"/>
    <mergeCell ref="I39:I40"/>
    <mergeCell ref="G72:G73"/>
    <mergeCell ref="G78:G79"/>
    <mergeCell ref="I37:I38"/>
    <mergeCell ref="O37:O38"/>
    <mergeCell ref="V39:V40"/>
    <mergeCell ref="U60:U61"/>
    <mergeCell ref="O48:O49"/>
    <mergeCell ref="T41:T42"/>
    <mergeCell ref="U41:U42"/>
    <mergeCell ref="V41:V42"/>
    <mergeCell ref="V43:V44"/>
    <mergeCell ref="T43:T44"/>
    <mergeCell ref="V56:V57"/>
    <mergeCell ref="T52:T53"/>
    <mergeCell ref="U52:U53"/>
    <mergeCell ref="T48:T49"/>
    <mergeCell ref="U48:U49"/>
    <mergeCell ref="T56:T57"/>
    <mergeCell ref="U43:U44"/>
    <mergeCell ref="O43:O44"/>
    <mergeCell ref="T54:T55"/>
    <mergeCell ref="T58:T59"/>
    <mergeCell ref="T50:T51"/>
    <mergeCell ref="U50:U51"/>
    <mergeCell ref="G31:G32"/>
    <mergeCell ref="AE31:AE32"/>
    <mergeCell ref="I31:I32"/>
    <mergeCell ref="G88:G89"/>
    <mergeCell ref="G90:G91"/>
    <mergeCell ref="G92:G93"/>
    <mergeCell ref="AD66:AD67"/>
    <mergeCell ref="AD68:AD69"/>
    <mergeCell ref="AD70:AD71"/>
    <mergeCell ref="AD54:AD55"/>
    <mergeCell ref="G74:G75"/>
    <mergeCell ref="G80:G81"/>
    <mergeCell ref="G84:G85"/>
    <mergeCell ref="G86:G87"/>
    <mergeCell ref="AD84:AD85"/>
    <mergeCell ref="Y84:Y85"/>
    <mergeCell ref="W72:W73"/>
    <mergeCell ref="AD37:AD38"/>
    <mergeCell ref="G76:G77"/>
    <mergeCell ref="I76:I77"/>
    <mergeCell ref="O76:O77"/>
    <mergeCell ref="T76:T77"/>
    <mergeCell ref="U76:U77"/>
    <mergeCell ref="V76:V77"/>
    <mergeCell ref="AE94:AE95"/>
    <mergeCell ref="I86:I87"/>
    <mergeCell ref="O82:O83"/>
    <mergeCell ref="AD64:AD65"/>
    <mergeCell ref="G33:G34"/>
    <mergeCell ref="AE33:AE34"/>
    <mergeCell ref="G62:G63"/>
    <mergeCell ref="I90:I91"/>
    <mergeCell ref="W39:W40"/>
    <mergeCell ref="G64:G65"/>
    <mergeCell ref="G66:G67"/>
    <mergeCell ref="G68:G69"/>
    <mergeCell ref="G70:G71"/>
    <mergeCell ref="I70:I71"/>
    <mergeCell ref="W76:W77"/>
    <mergeCell ref="AE74:AE75"/>
    <mergeCell ref="I80:I81"/>
    <mergeCell ref="T80:T81"/>
    <mergeCell ref="U80:U81"/>
    <mergeCell ref="V80:V81"/>
    <mergeCell ref="W80:W81"/>
    <mergeCell ref="T82:T83"/>
    <mergeCell ref="U82:U83"/>
    <mergeCell ref="I74:I75"/>
    <mergeCell ref="G108:G109"/>
    <mergeCell ref="G118:G119"/>
    <mergeCell ref="G120:G121"/>
    <mergeCell ref="G122:G123"/>
    <mergeCell ref="AF94:AF95"/>
    <mergeCell ref="AE86:AE87"/>
    <mergeCell ref="AF86:AF87"/>
    <mergeCell ref="AE116:AE117"/>
    <mergeCell ref="AF116:AF117"/>
    <mergeCell ref="AF114:AF115"/>
    <mergeCell ref="AE92:AE93"/>
    <mergeCell ref="I102:I103"/>
    <mergeCell ref="AF96:AF97"/>
    <mergeCell ref="AE100:AE101"/>
    <mergeCell ref="AF102:AF103"/>
    <mergeCell ref="AE104:AE105"/>
    <mergeCell ref="AF104:AF105"/>
    <mergeCell ref="AF100:AF101"/>
    <mergeCell ref="AE96:AE97"/>
    <mergeCell ref="AE98:AE99"/>
    <mergeCell ref="AF98:AF99"/>
    <mergeCell ref="G94:G95"/>
    <mergeCell ref="I94:I95"/>
    <mergeCell ref="O94:O95"/>
    <mergeCell ref="AD130:AD131"/>
    <mergeCell ref="AD112:AD113"/>
    <mergeCell ref="AD114:AD115"/>
    <mergeCell ref="AD116:AD117"/>
    <mergeCell ref="AD86:AD87"/>
    <mergeCell ref="AD102:AD103"/>
    <mergeCell ref="AD104:AD105"/>
    <mergeCell ref="AD88:AD89"/>
    <mergeCell ref="AD90:AD91"/>
    <mergeCell ref="AD92:AD93"/>
    <mergeCell ref="AD96:AD97"/>
    <mergeCell ref="AD94:AD95"/>
    <mergeCell ref="X130:X131"/>
    <mergeCell ref="X112:X113"/>
    <mergeCell ref="AE114:AE115"/>
    <mergeCell ref="AD106:AD107"/>
    <mergeCell ref="AE106:AE107"/>
    <mergeCell ref="AF106:AF107"/>
    <mergeCell ref="AD108:AD109"/>
    <mergeCell ref="AE108:AE109"/>
    <mergeCell ref="AF108:AF109"/>
    <mergeCell ref="AD110:AD111"/>
    <mergeCell ref="AE110:AE111"/>
    <mergeCell ref="AF110:AF111"/>
    <mergeCell ref="AD118:AD119"/>
    <mergeCell ref="AD120:AD121"/>
    <mergeCell ref="AD122:AD123"/>
    <mergeCell ref="AD124:AD125"/>
    <mergeCell ref="AD126:AD127"/>
    <mergeCell ref="AE120:AE121"/>
    <mergeCell ref="AE122:AE123"/>
    <mergeCell ref="AF122:AF123"/>
    <mergeCell ref="AE124:AE125"/>
    <mergeCell ref="AE130:AE131"/>
    <mergeCell ref="AF130:AF131"/>
    <mergeCell ref="AD128:AD129"/>
    <mergeCell ref="I92:I93"/>
    <mergeCell ref="I88:I89"/>
    <mergeCell ref="O84:O85"/>
    <mergeCell ref="T84:T85"/>
    <mergeCell ref="U84:U85"/>
    <mergeCell ref="V84:V85"/>
    <mergeCell ref="I84:I85"/>
    <mergeCell ref="T1:X1"/>
    <mergeCell ref="X31:X32"/>
    <mergeCell ref="X33:X34"/>
    <mergeCell ref="X35:X36"/>
    <mergeCell ref="X39:X40"/>
    <mergeCell ref="X41:X42"/>
    <mergeCell ref="X43:X44"/>
    <mergeCell ref="X46:X47"/>
    <mergeCell ref="X48:X49"/>
    <mergeCell ref="W31:W32"/>
    <mergeCell ref="W33:W34"/>
    <mergeCell ref="V35:V36"/>
    <mergeCell ref="W35:W36"/>
    <mergeCell ref="V31:V32"/>
    <mergeCell ref="T33:T34"/>
    <mergeCell ref="U33:U34"/>
    <mergeCell ref="X84:X85"/>
    <mergeCell ref="G82:G83"/>
    <mergeCell ref="O80:O81"/>
    <mergeCell ref="AD31:AD32"/>
    <mergeCell ref="T46:T47"/>
    <mergeCell ref="U46:U47"/>
    <mergeCell ref="W41:W42"/>
    <mergeCell ref="W43:W44"/>
    <mergeCell ref="W48:W49"/>
    <mergeCell ref="W56:W57"/>
    <mergeCell ref="T60:T61"/>
    <mergeCell ref="O52:O53"/>
    <mergeCell ref="V60:V61"/>
    <mergeCell ref="W60:W61"/>
    <mergeCell ref="AD35:AD36"/>
    <mergeCell ref="AD39:AD40"/>
    <mergeCell ref="T39:T40"/>
    <mergeCell ref="AD60:AD61"/>
    <mergeCell ref="Y43:Y44"/>
    <mergeCell ref="X82:X83"/>
    <mergeCell ref="X70:X71"/>
    <mergeCell ref="O70:O71"/>
    <mergeCell ref="O72:O73"/>
    <mergeCell ref="V64:V65"/>
    <mergeCell ref="W64:W65"/>
    <mergeCell ref="I78:I79"/>
    <mergeCell ref="Y78:Y79"/>
    <mergeCell ref="I82:I83"/>
    <mergeCell ref="X80:X81"/>
    <mergeCell ref="J2:N2"/>
    <mergeCell ref="O29:O30"/>
    <mergeCell ref="O74:O75"/>
    <mergeCell ref="T74:T75"/>
    <mergeCell ref="U74:U75"/>
    <mergeCell ref="V74:V75"/>
    <mergeCell ref="W74:W75"/>
    <mergeCell ref="X74:X75"/>
    <mergeCell ref="O62:O63"/>
    <mergeCell ref="T62:T63"/>
    <mergeCell ref="U62:U63"/>
    <mergeCell ref="V62:V63"/>
    <mergeCell ref="W62:W63"/>
    <mergeCell ref="X50:X51"/>
    <mergeCell ref="X52:X53"/>
    <mergeCell ref="X54:X55"/>
    <mergeCell ref="X56:X57"/>
    <mergeCell ref="X58:X59"/>
    <mergeCell ref="X60:X61"/>
    <mergeCell ref="X72:X73"/>
    <mergeCell ref="U54:U55"/>
    <mergeCell ref="V50:V51"/>
    <mergeCell ref="W50:W51"/>
    <mergeCell ref="O66:O67"/>
    <mergeCell ref="AD29:AD30"/>
    <mergeCell ref="AE29:AE30"/>
    <mergeCell ref="AD52:AD53"/>
    <mergeCell ref="AD41:AD42"/>
    <mergeCell ref="AD43:AD44"/>
    <mergeCell ref="Y29:Y30"/>
    <mergeCell ref="T29:T30"/>
    <mergeCell ref="U29:U30"/>
    <mergeCell ref="V29:V30"/>
    <mergeCell ref="W29:W30"/>
    <mergeCell ref="T37:T38"/>
    <mergeCell ref="U37:U38"/>
    <mergeCell ref="V37:V38"/>
    <mergeCell ref="W37:W38"/>
    <mergeCell ref="U31:U32"/>
    <mergeCell ref="T31:T32"/>
    <mergeCell ref="X29:X30"/>
    <mergeCell ref="V33:V34"/>
    <mergeCell ref="T35:T36"/>
    <mergeCell ref="U35:U36"/>
    <mergeCell ref="U39:U40"/>
    <mergeCell ref="AE41:AE42"/>
    <mergeCell ref="V46:V47"/>
    <mergeCell ref="W46:W47"/>
    <mergeCell ref="AF29:AF30"/>
    <mergeCell ref="AG29:AG30"/>
    <mergeCell ref="AG62:AG63"/>
    <mergeCell ref="AE60:AE61"/>
    <mergeCell ref="AF31:AF32"/>
    <mergeCell ref="AG31:AG32"/>
    <mergeCell ref="AE54:AE55"/>
    <mergeCell ref="AF54:AF55"/>
    <mergeCell ref="AE48:AE49"/>
    <mergeCell ref="AF48:AF49"/>
    <mergeCell ref="AE50:AE51"/>
    <mergeCell ref="AF50:AF51"/>
    <mergeCell ref="AG35:AG36"/>
    <mergeCell ref="AG39:AG40"/>
    <mergeCell ref="AE52:AE53"/>
    <mergeCell ref="AF52:AF53"/>
    <mergeCell ref="AE35:AE36"/>
    <mergeCell ref="AF35:AF36"/>
    <mergeCell ref="AE56:AE57"/>
    <mergeCell ref="AF33:AF34"/>
    <mergeCell ref="AE37:AE38"/>
    <mergeCell ref="AF37:AF38"/>
    <mergeCell ref="AE39:AE40"/>
    <mergeCell ref="AF39:AF40"/>
    <mergeCell ref="AE88:AE89"/>
    <mergeCell ref="AF88:AF89"/>
    <mergeCell ref="AE90:AE91"/>
    <mergeCell ref="AF90:AF91"/>
    <mergeCell ref="AE84:AE85"/>
    <mergeCell ref="AE76:AE77"/>
    <mergeCell ref="AF76:AF77"/>
    <mergeCell ref="AF41:AF42"/>
    <mergeCell ref="AE43:AE44"/>
    <mergeCell ref="AF43:AF44"/>
    <mergeCell ref="AF92:AF93"/>
    <mergeCell ref="AF84:AF85"/>
    <mergeCell ref="AF68:AF69"/>
    <mergeCell ref="AE72:AE73"/>
    <mergeCell ref="AF72:AF73"/>
    <mergeCell ref="AE70:AE71"/>
    <mergeCell ref="AF70:AF71"/>
    <mergeCell ref="AE80:AE81"/>
    <mergeCell ref="AF80:AF81"/>
    <mergeCell ref="AE78:AE79"/>
    <mergeCell ref="AF78:AF79"/>
    <mergeCell ref="AE82:AE83"/>
    <mergeCell ref="AF82:AF83"/>
    <mergeCell ref="AE68:AE69"/>
  </mergeCells>
  <phoneticPr fontId="0" type="noConversion"/>
  <conditionalFormatting sqref="M44 O232:R232 N150:N154 N135:N143 M135:M204 M41 M39 M37 M35 M33 M31 M52:N52 M50:N50 M48:N48 M64:N64 M62:N62 M60:N60 M58:N58 M106:N106 M104:N104 M102:N102 M100:N100 M98:N98 M96:N96 M94:N94 M92:N92 M90:N90 M88:N88 M86:N86 M84:N84 M82:N82 M80:N80 M78:N78 M76:N76 M74:N74 M72:N72 M70:N70 M68:N68 M126:N126 M124:N124 M122:N122 M120:N120 M118:N118 M116:N116 M114:N114 M110:N110 M112:N112">
    <cfRule type="expression" dxfId="151" priority="690">
      <formula>IF(($L$44+$M$44)&gt;$G$43,)</formula>
    </cfRule>
  </conditionalFormatting>
  <conditionalFormatting sqref="M47">
    <cfRule type="expression" dxfId="150" priority="646">
      <formula>IF(($L$44+$M$44)&gt;$G$43,)</formula>
    </cfRule>
  </conditionalFormatting>
  <conditionalFormatting sqref="M49">
    <cfRule type="expression" dxfId="149" priority="645">
      <formula>IF(($L$44+$M$44)&gt;$G$43,)</formula>
    </cfRule>
  </conditionalFormatting>
  <conditionalFormatting sqref="M51">
    <cfRule type="expression" dxfId="148" priority="644">
      <formula>IF(($L$44+$M$44)&gt;$G$43,)</formula>
    </cfRule>
  </conditionalFormatting>
  <conditionalFormatting sqref="M53">
    <cfRule type="expression" dxfId="147" priority="643">
      <formula>IF(($L$44+$M$44)&gt;$G$43,)</formula>
    </cfRule>
  </conditionalFormatting>
  <conditionalFormatting sqref="M55">
    <cfRule type="expression" dxfId="146" priority="642">
      <formula>IF(($L$44+$M$44)&gt;$G$43,)</formula>
    </cfRule>
  </conditionalFormatting>
  <conditionalFormatting sqref="M57">
    <cfRule type="expression" dxfId="145" priority="641">
      <formula>IF(($L$44+$M$44)&gt;$G$43,)</formula>
    </cfRule>
  </conditionalFormatting>
  <conditionalFormatting sqref="M59">
    <cfRule type="expression" dxfId="144" priority="640">
      <formula>IF(($L$44+$M$44)&gt;$G$43,)</formula>
    </cfRule>
  </conditionalFormatting>
  <conditionalFormatting sqref="M61">
    <cfRule type="expression" dxfId="143" priority="639">
      <formula>IF(($L$44+$M$44)&gt;$G$43,)</formula>
    </cfRule>
  </conditionalFormatting>
  <conditionalFormatting sqref="M63">
    <cfRule type="expression" dxfId="142" priority="638">
      <formula>IF(($L$44+$M$44)&gt;$G$43,)</formula>
    </cfRule>
  </conditionalFormatting>
  <conditionalFormatting sqref="M65">
    <cfRule type="expression" dxfId="141" priority="637">
      <formula>IF(($L$44+$M$44)&gt;$G$43,)</formula>
    </cfRule>
  </conditionalFormatting>
  <conditionalFormatting sqref="M67">
    <cfRule type="expression" dxfId="140" priority="636">
      <formula>IF(($L$44+$M$44)&gt;$G$43,)</formula>
    </cfRule>
  </conditionalFormatting>
  <conditionalFormatting sqref="M69">
    <cfRule type="expression" dxfId="139" priority="635">
      <formula>IF(($L$44+$M$44)&gt;$G$43,)</formula>
    </cfRule>
  </conditionalFormatting>
  <conditionalFormatting sqref="M71">
    <cfRule type="expression" dxfId="138" priority="634">
      <formula>IF(($L$44+$M$44)&gt;$G$43,)</formula>
    </cfRule>
  </conditionalFormatting>
  <conditionalFormatting sqref="M73">
    <cfRule type="expression" dxfId="137" priority="633">
      <formula>IF(($L$44+$M$44)&gt;$G$43,)</formula>
    </cfRule>
  </conditionalFormatting>
  <conditionalFormatting sqref="M75">
    <cfRule type="expression" dxfId="136" priority="632">
      <formula>IF(($L$44+$M$44)&gt;$G$43,)</formula>
    </cfRule>
  </conditionalFormatting>
  <conditionalFormatting sqref="M77">
    <cfRule type="expression" dxfId="135" priority="631">
      <formula>IF(($L$44+$M$44)&gt;$G$43,)</formula>
    </cfRule>
  </conditionalFormatting>
  <conditionalFormatting sqref="M79">
    <cfRule type="expression" dxfId="134" priority="630">
      <formula>IF(($L$44+$M$44)&gt;$G$43,)</formula>
    </cfRule>
  </conditionalFormatting>
  <conditionalFormatting sqref="M81">
    <cfRule type="expression" dxfId="133" priority="629">
      <formula>IF(($L$44+$M$44)&gt;$G$43,)</formula>
    </cfRule>
  </conditionalFormatting>
  <conditionalFormatting sqref="M83">
    <cfRule type="expression" dxfId="132" priority="628">
      <formula>IF(($L$44+$M$44)&gt;$G$43,)</formula>
    </cfRule>
  </conditionalFormatting>
  <conditionalFormatting sqref="M85">
    <cfRule type="expression" dxfId="131" priority="627">
      <formula>IF(($L$44+$M$44)&gt;$G$43,)</formula>
    </cfRule>
  </conditionalFormatting>
  <conditionalFormatting sqref="M87">
    <cfRule type="expression" dxfId="130" priority="626">
      <formula>IF(($L$44+$M$44)&gt;$G$43,)</formula>
    </cfRule>
  </conditionalFormatting>
  <conditionalFormatting sqref="M89">
    <cfRule type="expression" dxfId="129" priority="625">
      <formula>IF(($L$44+$M$44)&gt;$G$43,)</formula>
    </cfRule>
  </conditionalFormatting>
  <conditionalFormatting sqref="M95">
    <cfRule type="expression" dxfId="128" priority="622">
      <formula>IF(($L$44+$M$44)&gt;$G$43,)</formula>
    </cfRule>
  </conditionalFormatting>
  <conditionalFormatting sqref="M97">
    <cfRule type="expression" dxfId="127" priority="621">
      <formula>IF(($L$44+$M$44)&gt;$G$43,)</formula>
    </cfRule>
  </conditionalFormatting>
  <conditionalFormatting sqref="M99">
    <cfRule type="expression" dxfId="126" priority="620">
      <formula>IF(($L$44+$M$44)&gt;$G$43,)</formula>
    </cfRule>
  </conditionalFormatting>
  <conditionalFormatting sqref="M101">
    <cfRule type="expression" dxfId="125" priority="619">
      <formula>IF(($L$44+$M$44)&gt;$G$43,)</formula>
    </cfRule>
  </conditionalFormatting>
  <conditionalFormatting sqref="M103">
    <cfRule type="expression" dxfId="124" priority="618">
      <formula>IF(($L$44+$M$44)&gt;$G$43,)</formula>
    </cfRule>
  </conditionalFormatting>
  <conditionalFormatting sqref="M105">
    <cfRule type="expression" dxfId="123" priority="617">
      <formula>IF(($L$44+$M$44)&gt;$G$43,)</formula>
    </cfRule>
  </conditionalFormatting>
  <conditionalFormatting sqref="M107">
    <cfRule type="expression" dxfId="122" priority="616">
      <formula>IF(($L$44+$M$44)&gt;$G$43,)</formula>
    </cfRule>
  </conditionalFormatting>
  <conditionalFormatting sqref="M109">
    <cfRule type="expression" dxfId="121" priority="615">
      <formula>IF(($L$44+$M$44)&gt;$G$43,)</formula>
    </cfRule>
  </conditionalFormatting>
  <conditionalFormatting sqref="M111">
    <cfRule type="expression" dxfId="120" priority="614">
      <formula>IF(($L$44+$M$44)&gt;$G$43,)</formula>
    </cfRule>
  </conditionalFormatting>
  <conditionalFormatting sqref="M113">
    <cfRule type="expression" dxfId="119" priority="613">
      <formula>IF(($L$44+$M$44)&gt;$G$43,)</formula>
    </cfRule>
  </conditionalFormatting>
  <conditionalFormatting sqref="M115">
    <cfRule type="expression" dxfId="118" priority="612">
      <formula>IF(($L$44+$M$44)&gt;$G$43,)</formula>
    </cfRule>
  </conditionalFormatting>
  <conditionalFormatting sqref="M117">
    <cfRule type="expression" dxfId="117" priority="611">
      <formula>IF(($L$44+$M$44)&gt;$G$43,)</formula>
    </cfRule>
  </conditionalFormatting>
  <conditionalFormatting sqref="M119">
    <cfRule type="expression" dxfId="116" priority="610">
      <formula>IF(($L$44+$M$44)&gt;$G$43,)</formula>
    </cfRule>
  </conditionalFormatting>
  <conditionalFormatting sqref="M121">
    <cfRule type="expression" dxfId="115" priority="609">
      <formula>IF(($L$44+$M$44)&gt;$G$43,)</formula>
    </cfRule>
  </conditionalFormatting>
  <conditionalFormatting sqref="M123">
    <cfRule type="expression" dxfId="114" priority="608">
      <formula>IF(($L$44+$M$44)&gt;$G$43,)</formula>
    </cfRule>
  </conditionalFormatting>
  <conditionalFormatting sqref="M125">
    <cfRule type="expression" dxfId="113" priority="607">
      <formula>IF(($L$44+$M$44)&gt;$G$43,)</formula>
    </cfRule>
  </conditionalFormatting>
  <conditionalFormatting sqref="M127">
    <cfRule type="expression" dxfId="112" priority="606">
      <formula>IF(($L$44+$M$44)&gt;$G$43,)</formula>
    </cfRule>
  </conditionalFormatting>
  <conditionalFormatting sqref="M129">
    <cfRule type="expression" dxfId="111" priority="605">
      <formula>IF(($L$44+$M$44)&gt;$G$43,)</formula>
    </cfRule>
  </conditionalFormatting>
  <conditionalFormatting sqref="M131">
    <cfRule type="expression" dxfId="110" priority="603">
      <formula>IF(($L$44+$M$44)&gt;$G$43,)</formula>
    </cfRule>
  </conditionalFormatting>
  <conditionalFormatting sqref="M134:N134">
    <cfRule type="expression" dxfId="109" priority="457">
      <formula>IF(($L$44+$M$44)&gt;$G$43,)</formula>
    </cfRule>
  </conditionalFormatting>
  <conditionalFormatting sqref="M91">
    <cfRule type="expression" dxfId="108" priority="455">
      <formula>IF(($L$44+$M$44)&gt;$G$43,)</formula>
    </cfRule>
  </conditionalFormatting>
  <conditionalFormatting sqref="M93">
    <cfRule type="expression" dxfId="107" priority="454">
      <formula>IF(($L$44+$M$44)&gt;$G$43,)</formula>
    </cfRule>
  </conditionalFormatting>
  <conditionalFormatting sqref="I134:I143">
    <cfRule type="iconSet" priority="453">
      <iconSet iconSet="3Symbols">
        <cfvo type="percent" val="0"/>
        <cfvo type="percent" val="33"/>
        <cfvo type="percent" val="67"/>
      </iconSet>
    </cfRule>
  </conditionalFormatting>
  <conditionalFormatting sqref="N131">
    <cfRule type="expression" dxfId="106" priority="350">
      <formula>IF(($L$44+$M$44)&gt;$G$43,)</formula>
    </cfRule>
  </conditionalFormatting>
  <conditionalFormatting sqref="N34">
    <cfRule type="expression" dxfId="105" priority="398">
      <formula>IF(($L$44+$M$44)&gt;$G$43,)</formula>
    </cfRule>
  </conditionalFormatting>
  <conditionalFormatting sqref="N38">
    <cfRule type="expression" dxfId="104" priority="396">
      <formula>IF(($L$44+$M$44)&gt;$G$43,)</formula>
    </cfRule>
  </conditionalFormatting>
  <conditionalFormatting sqref="N36">
    <cfRule type="expression" dxfId="103" priority="397">
      <formula>IF(($L$44+$M$44)&gt;$G$43,)</formula>
    </cfRule>
  </conditionalFormatting>
  <conditionalFormatting sqref="N40">
    <cfRule type="expression" dxfId="102" priority="395">
      <formula>IF(($L$44+$M$44)&gt;$G$43,)</formula>
    </cfRule>
  </conditionalFormatting>
  <conditionalFormatting sqref="N44">
    <cfRule type="expression" dxfId="101" priority="393">
      <formula>IF(($L$44+$M$44)&gt;$G$43,)</formula>
    </cfRule>
  </conditionalFormatting>
  <conditionalFormatting sqref="N47">
    <cfRule type="expression" dxfId="100" priority="392">
      <formula>IF(($L$44+$M$44)&gt;$G$43,)</formula>
    </cfRule>
  </conditionalFormatting>
  <conditionalFormatting sqref="N49">
    <cfRule type="expression" dxfId="99" priority="391">
      <formula>IF(($L$44+$M$44)&gt;$G$43,)</formula>
    </cfRule>
  </conditionalFormatting>
  <conditionalFormatting sqref="N51">
    <cfRule type="expression" dxfId="98" priority="390">
      <formula>IF(($L$44+$M$44)&gt;$G$43,)</formula>
    </cfRule>
  </conditionalFormatting>
  <conditionalFormatting sqref="N30">
    <cfRule type="expression" dxfId="97" priority="400">
      <formula>IF(($L$44+$M$44)&gt;$G$43,)</formula>
    </cfRule>
  </conditionalFormatting>
  <conditionalFormatting sqref="N32">
    <cfRule type="expression" dxfId="96" priority="399">
      <formula>IF(($L$44+$M$44)&gt;$G$43,)</formula>
    </cfRule>
  </conditionalFormatting>
  <conditionalFormatting sqref="N53">
    <cfRule type="expression" dxfId="95" priority="389">
      <formula>IF(($L$44+$M$44)&gt;$G$43,)</formula>
    </cfRule>
  </conditionalFormatting>
  <conditionalFormatting sqref="N55">
    <cfRule type="expression" dxfId="94" priority="388">
      <formula>IF(($L$44+$M$44)&gt;$G$43,)</formula>
    </cfRule>
  </conditionalFormatting>
  <conditionalFormatting sqref="N57">
    <cfRule type="expression" dxfId="93" priority="387">
      <formula>IF(($L$44+$M$44)&gt;$G$43,)</formula>
    </cfRule>
  </conditionalFormatting>
  <conditionalFormatting sqref="N59">
    <cfRule type="expression" dxfId="92" priority="386">
      <formula>IF(($L$44+$M$44)&gt;$G$43,)</formula>
    </cfRule>
  </conditionalFormatting>
  <conditionalFormatting sqref="N61">
    <cfRule type="expression" dxfId="91" priority="385">
      <formula>IF(($L$44+$M$44)&gt;$G$43,)</formula>
    </cfRule>
  </conditionalFormatting>
  <conditionalFormatting sqref="N63">
    <cfRule type="expression" dxfId="90" priority="384">
      <formula>IF(($L$44+$M$44)&gt;$G$43,)</formula>
    </cfRule>
  </conditionalFormatting>
  <conditionalFormatting sqref="N65">
    <cfRule type="expression" dxfId="89" priority="383">
      <formula>IF(($L$44+$M$44)&gt;$G$43,)</formula>
    </cfRule>
  </conditionalFormatting>
  <conditionalFormatting sqref="N67">
    <cfRule type="expression" dxfId="88" priority="382">
      <formula>IF(($L$44+$M$44)&gt;$G$43,)</formula>
    </cfRule>
  </conditionalFormatting>
  <conditionalFormatting sqref="N69">
    <cfRule type="expression" dxfId="87" priority="381">
      <formula>IF(($L$44+$M$44)&gt;$G$43,)</formula>
    </cfRule>
  </conditionalFormatting>
  <conditionalFormatting sqref="N71">
    <cfRule type="expression" dxfId="86" priority="380">
      <formula>IF(($L$44+$M$44)&gt;$G$43,)</formula>
    </cfRule>
  </conditionalFormatting>
  <conditionalFormatting sqref="N73">
    <cfRule type="expression" dxfId="85" priority="379">
      <formula>IF(($L$44+$M$44)&gt;$G$43,)</formula>
    </cfRule>
  </conditionalFormatting>
  <conditionalFormatting sqref="N75">
    <cfRule type="expression" dxfId="84" priority="378">
      <formula>IF(($L$44+$M$44)&gt;$G$43,)</formula>
    </cfRule>
  </conditionalFormatting>
  <conditionalFormatting sqref="N77">
    <cfRule type="expression" dxfId="83" priority="377">
      <formula>IF(($L$44+$M$44)&gt;$G$43,)</formula>
    </cfRule>
  </conditionalFormatting>
  <conditionalFormatting sqref="N79">
    <cfRule type="expression" dxfId="82" priority="376">
      <formula>IF(($L$44+$M$44)&gt;$G$43,)</formula>
    </cfRule>
  </conditionalFormatting>
  <conditionalFormatting sqref="N81">
    <cfRule type="expression" dxfId="81" priority="375">
      <formula>IF(($L$44+$M$44)&gt;$G$43,)</formula>
    </cfRule>
  </conditionalFormatting>
  <conditionalFormatting sqref="N83">
    <cfRule type="expression" dxfId="80" priority="374">
      <formula>IF(($L$44+$M$44)&gt;$G$43,)</formula>
    </cfRule>
  </conditionalFormatting>
  <conditionalFormatting sqref="N85">
    <cfRule type="expression" dxfId="79" priority="373">
      <formula>IF(($L$44+$M$44)&gt;$G$43,)</formula>
    </cfRule>
  </conditionalFormatting>
  <conditionalFormatting sqref="N87">
    <cfRule type="expression" dxfId="78" priority="372">
      <formula>IF(($L$44+$M$44)&gt;$G$43,)</formula>
    </cfRule>
  </conditionalFormatting>
  <conditionalFormatting sqref="N89">
    <cfRule type="expression" dxfId="77" priority="371">
      <formula>IF(($L$44+$M$44)&gt;$G$43,)</formula>
    </cfRule>
  </conditionalFormatting>
  <conditionalFormatting sqref="N91">
    <cfRule type="expression" dxfId="76" priority="370">
      <formula>IF(($L$44+$M$44)&gt;$G$43,)</formula>
    </cfRule>
  </conditionalFormatting>
  <conditionalFormatting sqref="N93">
    <cfRule type="expression" dxfId="75" priority="369">
      <formula>IF(($L$44+$M$44)&gt;$G$43,)</formula>
    </cfRule>
  </conditionalFormatting>
  <conditionalFormatting sqref="N95">
    <cfRule type="expression" dxfId="74" priority="368">
      <formula>IF(($L$44+$M$44)&gt;$G$43,)</formula>
    </cfRule>
  </conditionalFormatting>
  <conditionalFormatting sqref="N97">
    <cfRule type="expression" dxfId="73" priority="367">
      <formula>IF(($L$44+$M$44)&gt;$G$43,)</formula>
    </cfRule>
  </conditionalFormatting>
  <conditionalFormatting sqref="N99">
    <cfRule type="expression" dxfId="72" priority="366">
      <formula>IF(($L$44+$M$44)&gt;$G$43,)</formula>
    </cfRule>
  </conditionalFormatting>
  <conditionalFormatting sqref="N101">
    <cfRule type="expression" dxfId="71" priority="365">
      <formula>IF(($L$44+$M$44)&gt;$G$43,)</formula>
    </cfRule>
  </conditionalFormatting>
  <conditionalFormatting sqref="N103">
    <cfRule type="expression" dxfId="70" priority="364">
      <formula>IF(($L$44+$M$44)&gt;$G$43,)</formula>
    </cfRule>
  </conditionalFormatting>
  <conditionalFormatting sqref="N105">
    <cfRule type="expression" dxfId="69" priority="363">
      <formula>IF(($L$44+$M$44)&gt;$G$43,)</formula>
    </cfRule>
  </conditionalFormatting>
  <conditionalFormatting sqref="N107">
    <cfRule type="expression" dxfId="68" priority="362">
      <formula>IF(($L$44+$M$44)&gt;$G$43,)</formula>
    </cfRule>
  </conditionalFormatting>
  <conditionalFormatting sqref="N109">
    <cfRule type="expression" dxfId="67" priority="361">
      <formula>IF(($L$44+$M$44)&gt;$G$43,)</formula>
    </cfRule>
  </conditionalFormatting>
  <conditionalFormatting sqref="N111">
    <cfRule type="expression" dxfId="66" priority="360">
      <formula>IF(($L$44+$M$44)&gt;$G$43,)</formula>
    </cfRule>
  </conditionalFormatting>
  <conditionalFormatting sqref="N113">
    <cfRule type="expression" dxfId="65" priority="359">
      <formula>IF(($L$44+$M$44)&gt;$G$43,)</formula>
    </cfRule>
  </conditionalFormatting>
  <conditionalFormatting sqref="N115">
    <cfRule type="expression" dxfId="64" priority="358">
      <formula>IF(($L$44+$M$44)&gt;$G$43,)</formula>
    </cfRule>
  </conditionalFormatting>
  <conditionalFormatting sqref="N117">
    <cfRule type="expression" dxfId="63" priority="357">
      <formula>IF(($L$44+$M$44)&gt;$G$43,)</formula>
    </cfRule>
  </conditionalFormatting>
  <conditionalFormatting sqref="N119">
    <cfRule type="expression" dxfId="62" priority="356">
      <formula>IF(($L$44+$M$44)&gt;$G$43,)</formula>
    </cfRule>
  </conditionalFormatting>
  <conditionalFormatting sqref="N121">
    <cfRule type="expression" dxfId="61" priority="355">
      <formula>IF(($L$44+$M$44)&gt;$G$43,)</formula>
    </cfRule>
  </conditionalFormatting>
  <conditionalFormatting sqref="N123">
    <cfRule type="expression" dxfId="60" priority="354">
      <formula>IF(($L$44+$M$44)&gt;$G$43,)</formula>
    </cfRule>
  </conditionalFormatting>
  <conditionalFormatting sqref="N125">
    <cfRule type="expression" dxfId="59" priority="353">
      <formula>IF(($L$44+$M$44)&gt;$G$43,)</formula>
    </cfRule>
  </conditionalFormatting>
  <conditionalFormatting sqref="N127">
    <cfRule type="expression" dxfId="58" priority="352">
      <formula>IF(($L$44+$M$44)&gt;$G$43,)</formula>
    </cfRule>
  </conditionalFormatting>
  <conditionalFormatting sqref="N129">
    <cfRule type="expression" dxfId="57" priority="351">
      <formula>IF(($L$44+$M$44)&gt;$G$43,)</formula>
    </cfRule>
  </conditionalFormatting>
  <conditionalFormatting sqref="N42">
    <cfRule type="expression" dxfId="56" priority="343">
      <formula>IF(($L$44+$M$44)&gt;$G$43,)</formula>
    </cfRule>
  </conditionalFormatting>
  <conditionalFormatting sqref="I225">
    <cfRule type="iconSet" priority="148">
      <iconSet iconSet="3Symbols">
        <cfvo type="percent" val="0"/>
        <cfvo type="percent" val="33"/>
        <cfvo type="percent" val="67"/>
      </iconSet>
    </cfRule>
  </conditionalFormatting>
  <conditionalFormatting sqref="I226">
    <cfRule type="iconSet" priority="146">
      <iconSet iconSet="3Symbols">
        <cfvo type="percent" val="0"/>
        <cfvo type="percent" val="33"/>
        <cfvo type="percent" val="67"/>
      </iconSet>
    </cfRule>
  </conditionalFormatting>
  <conditionalFormatting sqref="M232:N232">
    <cfRule type="expression" dxfId="55" priority="143">
      <formula>IF(($L$44+$M$44)&gt;$G$43,)</formula>
    </cfRule>
  </conditionalFormatting>
  <conditionalFormatting sqref="I227">
    <cfRule type="iconSet" priority="144">
      <iconSet iconSet="3Symbols">
        <cfvo type="percent" val="0"/>
        <cfvo type="percent" val="33"/>
        <cfvo type="percent" val="67"/>
      </iconSet>
    </cfRule>
  </conditionalFormatting>
  <conditionalFormatting sqref="I228">
    <cfRule type="iconSet" priority="142">
      <iconSet iconSet="3Symbols">
        <cfvo type="percent" val="0"/>
        <cfvo type="percent" val="33"/>
        <cfvo type="percent" val="67"/>
      </iconSet>
    </cfRule>
  </conditionalFormatting>
  <conditionalFormatting sqref="I229">
    <cfRule type="iconSet" priority="140">
      <iconSet iconSet="3Symbols">
        <cfvo type="percent" val="0"/>
        <cfvo type="percent" val="33"/>
        <cfvo type="percent" val="67"/>
      </iconSet>
    </cfRule>
  </conditionalFormatting>
  <conditionalFormatting sqref="I230">
    <cfRule type="iconSet" priority="138">
      <iconSet iconSet="3Symbols">
        <cfvo type="percent" val="0"/>
        <cfvo type="percent" val="33"/>
        <cfvo type="percent" val="67"/>
      </iconSet>
    </cfRule>
  </conditionalFormatting>
  <conditionalFormatting sqref="I231:I232">
    <cfRule type="iconSet" priority="136">
      <iconSet iconSet="3Symbols">
        <cfvo type="percent" val="0"/>
        <cfvo type="percent" val="33"/>
        <cfvo type="percent" val="67"/>
      </iconSet>
    </cfRule>
  </conditionalFormatting>
  <conditionalFormatting sqref="I234">
    <cfRule type="iconSet" priority="134">
      <iconSet iconSet="3Symbols">
        <cfvo type="percent" val="0"/>
        <cfvo type="percent" val="33"/>
        <cfvo type="percent" val="67"/>
      </iconSet>
    </cfRule>
  </conditionalFormatting>
  <conditionalFormatting sqref="I235">
    <cfRule type="iconSet" priority="132">
      <iconSet iconSet="3Symbols">
        <cfvo type="percent" val="0"/>
        <cfvo type="percent" val="33"/>
        <cfvo type="percent" val="67"/>
      </iconSet>
    </cfRule>
  </conditionalFormatting>
  <conditionalFormatting sqref="I236">
    <cfRule type="iconSet" priority="130">
      <iconSet iconSet="3Symbols">
        <cfvo type="percent" val="0"/>
        <cfvo type="percent" val="33"/>
        <cfvo type="percent" val="67"/>
      </iconSet>
    </cfRule>
  </conditionalFormatting>
  <conditionalFormatting sqref="I237">
    <cfRule type="iconSet" priority="128">
      <iconSet iconSet="3Symbols">
        <cfvo type="percent" val="0"/>
        <cfvo type="percent" val="33"/>
        <cfvo type="percent" val="67"/>
      </iconSet>
    </cfRule>
  </conditionalFormatting>
  <conditionalFormatting sqref="I238">
    <cfRule type="iconSet" priority="126">
      <iconSet iconSet="3Symbols">
        <cfvo type="percent" val="0"/>
        <cfvo type="percent" val="33"/>
        <cfvo type="percent" val="67"/>
      </iconSet>
    </cfRule>
  </conditionalFormatting>
  <conditionalFormatting sqref="I239">
    <cfRule type="iconSet" priority="124">
      <iconSet iconSet="3Symbols">
        <cfvo type="percent" val="0"/>
        <cfvo type="percent" val="33"/>
        <cfvo type="percent" val="67"/>
      </iconSet>
    </cfRule>
  </conditionalFormatting>
  <conditionalFormatting sqref="I240">
    <cfRule type="iconSet" priority="122">
      <iconSet iconSet="3Symbols">
        <cfvo type="percent" val="0"/>
        <cfvo type="percent" val="33"/>
        <cfvo type="percent" val="67"/>
      </iconSet>
    </cfRule>
  </conditionalFormatting>
  <conditionalFormatting sqref="I241">
    <cfRule type="iconSet" priority="120">
      <iconSet iconSet="3Symbols">
        <cfvo type="percent" val="0"/>
        <cfvo type="percent" val="33"/>
        <cfvo type="percent" val="67"/>
      </iconSet>
    </cfRule>
  </conditionalFormatting>
  <conditionalFormatting sqref="I242">
    <cfRule type="iconSet" priority="118">
      <iconSet iconSet="3Symbols">
        <cfvo type="percent" val="0"/>
        <cfvo type="percent" val="33"/>
        <cfvo type="percent" val="67"/>
      </iconSet>
    </cfRule>
  </conditionalFormatting>
  <conditionalFormatting sqref="I243">
    <cfRule type="iconSet" priority="116">
      <iconSet iconSet="3Symbols">
        <cfvo type="percent" val="0"/>
        <cfvo type="percent" val="33"/>
        <cfvo type="percent" val="67"/>
      </iconSet>
    </cfRule>
  </conditionalFormatting>
  <conditionalFormatting sqref="N144:N148">
    <cfRule type="expression" dxfId="54" priority="115">
      <formula>IF(($L$44+$M$44)&gt;$G$43,)</formula>
    </cfRule>
  </conditionalFormatting>
  <conditionalFormatting sqref="I144:I148 I150:I154">
    <cfRule type="iconSet" priority="114">
      <iconSet iconSet="3Symbols">
        <cfvo type="percent" val="0"/>
        <cfvo type="percent" val="33"/>
        <cfvo type="percent" val="67"/>
      </iconSet>
    </cfRule>
  </conditionalFormatting>
  <conditionalFormatting sqref="N149">
    <cfRule type="expression" dxfId="53" priority="113">
      <formula>IF(($L$44+$M$44)&gt;$G$43,)</formula>
    </cfRule>
  </conditionalFormatting>
  <conditionalFormatting sqref="I149">
    <cfRule type="iconSet" priority="112">
      <iconSet iconSet="3Symbols">
        <cfvo type="percent" val="0"/>
        <cfvo type="percent" val="33"/>
        <cfvo type="percent" val="67"/>
      </iconSet>
    </cfRule>
  </conditionalFormatting>
  <conditionalFormatting sqref="M208:N209">
    <cfRule type="expression" dxfId="52" priority="110">
      <formula>IF(($L$44+$M$44)&gt;$G$43,)</formula>
    </cfRule>
  </conditionalFormatting>
  <conditionalFormatting sqref="N155:N204">
    <cfRule type="expression" dxfId="51" priority="109">
      <formula>IF(($L$44+$M$44)&gt;$G$43,)</formula>
    </cfRule>
  </conditionalFormatting>
  <conditionalFormatting sqref="I155:I186">
    <cfRule type="iconSet" priority="108">
      <iconSet iconSet="3Symbols">
        <cfvo type="percent" val="0"/>
        <cfvo type="percent" val="33"/>
        <cfvo type="percent" val="67"/>
      </iconSet>
    </cfRule>
  </conditionalFormatting>
  <conditionalFormatting sqref="I244:I284">
    <cfRule type="iconSet" priority="106">
      <iconSet iconSet="3Symbols">
        <cfvo type="percent" val="0"/>
        <cfvo type="percent" val="33"/>
        <cfvo type="percent" val="67"/>
      </iconSet>
    </cfRule>
  </conditionalFormatting>
  <conditionalFormatting sqref="N225:N231">
    <cfRule type="expression" dxfId="50" priority="36">
      <formula>IF(($L$44+$M$44)&gt;$G$43,)</formula>
    </cfRule>
  </conditionalFormatting>
  <conditionalFormatting sqref="M234:M284">
    <cfRule type="expression" dxfId="49" priority="35">
      <formula>IF(($L$44+$M$44)&gt;$G$43,)</formula>
    </cfRule>
  </conditionalFormatting>
  <conditionalFormatting sqref="I187:I204">
    <cfRule type="iconSet" priority="38">
      <iconSet iconSet="3Symbols">
        <cfvo type="percent" val="0"/>
        <cfvo type="percent" val="33"/>
        <cfvo type="percent" val="67"/>
      </iconSet>
    </cfRule>
  </conditionalFormatting>
  <conditionalFormatting sqref="M225:M231">
    <cfRule type="expression" dxfId="48" priority="37">
      <formula>IF(($L$44+$M$44)&gt;$G$43,)</formula>
    </cfRule>
  </conditionalFormatting>
  <conditionalFormatting sqref="N234:N284">
    <cfRule type="expression" dxfId="47" priority="34">
      <formula>IF(($L$44+$M$44)&gt;$G$43,)</formula>
    </cfRule>
  </conditionalFormatting>
  <conditionalFormatting sqref="M14:N14">
    <cfRule type="expression" dxfId="46" priority="33">
      <formula>IF(($L$44+$M$44)&gt;$G$43,)</formula>
    </cfRule>
  </conditionalFormatting>
  <conditionalFormatting sqref="M19:N19">
    <cfRule type="expression" dxfId="45" priority="32">
      <formula>IF(($L$44+$M$44)&gt;$G$43,)</formula>
    </cfRule>
  </conditionalFormatting>
  <conditionalFormatting sqref="M20:N20">
    <cfRule type="expression" dxfId="44" priority="31">
      <formula>IF(($L$44+$M$44)&gt;$G$43,)</formula>
    </cfRule>
  </conditionalFormatting>
  <conditionalFormatting sqref="M29:N29">
    <cfRule type="expression" dxfId="43" priority="30">
      <formula>IF(($L$44+$M$44)&gt;$G$43,)</formula>
    </cfRule>
  </conditionalFormatting>
  <conditionalFormatting sqref="M43">
    <cfRule type="expression" dxfId="42" priority="28">
      <formula>IF(($L$44+$M$44)&gt;$G$43,)</formula>
    </cfRule>
  </conditionalFormatting>
  <conditionalFormatting sqref="N31">
    <cfRule type="expression" dxfId="41" priority="27">
      <formula>IF(($L$44+$M$44)&gt;$G$43,)</formula>
    </cfRule>
  </conditionalFormatting>
  <conditionalFormatting sqref="N33">
    <cfRule type="expression" dxfId="40" priority="26">
      <formula>IF(($L$44+$M$44)&gt;$G$43,)</formula>
    </cfRule>
  </conditionalFormatting>
  <conditionalFormatting sqref="N35">
    <cfRule type="expression" dxfId="39" priority="25">
      <formula>IF(($L$44+$M$44)&gt;$G$43,)</formula>
    </cfRule>
  </conditionalFormatting>
  <conditionalFormatting sqref="N37">
    <cfRule type="expression" dxfId="38" priority="24">
      <formula>IF(($L$44+$M$44)&gt;$G$43,)</formula>
    </cfRule>
  </conditionalFormatting>
  <conditionalFormatting sqref="N39">
    <cfRule type="expression" dxfId="37" priority="23">
      <formula>IF(($L$44+$M$44)&gt;$G$43,)</formula>
    </cfRule>
  </conditionalFormatting>
  <conditionalFormatting sqref="N41">
    <cfRule type="expression" dxfId="36" priority="22">
      <formula>IF(($L$44+$M$44)&gt;$G$43,)</formula>
    </cfRule>
  </conditionalFormatting>
  <conditionalFormatting sqref="N43">
    <cfRule type="expression" dxfId="35" priority="21">
      <formula>IF(($L$44+$M$44)&gt;$G$43,)</formula>
    </cfRule>
  </conditionalFormatting>
  <conditionalFormatting sqref="M45:N45">
    <cfRule type="expression" dxfId="34" priority="20">
      <formula>IF(($L$44+$M$44)&gt;$G$43,)</formula>
    </cfRule>
  </conditionalFormatting>
  <conditionalFormatting sqref="M46">
    <cfRule type="expression" dxfId="33" priority="19">
      <formula>IF(($L$44+$M$44)&gt;$G$43,)</formula>
    </cfRule>
  </conditionalFormatting>
  <conditionalFormatting sqref="N46">
    <cfRule type="expression" dxfId="32" priority="18">
      <formula>IF(($L$44+$M$44)&gt;$G$43,)</formula>
    </cfRule>
  </conditionalFormatting>
  <conditionalFormatting sqref="M54">
    <cfRule type="expression" dxfId="31" priority="17">
      <formula>IF(($L$44+$M$44)&gt;$G$43,)</formula>
    </cfRule>
  </conditionalFormatting>
  <conditionalFormatting sqref="N54">
    <cfRule type="expression" dxfId="30" priority="16">
      <formula>IF(($L$44+$M$44)&gt;$G$43,)</formula>
    </cfRule>
  </conditionalFormatting>
  <conditionalFormatting sqref="M56">
    <cfRule type="expression" dxfId="29" priority="15">
      <formula>IF(($L$44+$M$44)&gt;$G$43,)</formula>
    </cfRule>
  </conditionalFormatting>
  <conditionalFormatting sqref="N56">
    <cfRule type="expression" dxfId="28" priority="14">
      <formula>IF(($L$44+$M$44)&gt;$G$43,)</formula>
    </cfRule>
  </conditionalFormatting>
  <conditionalFormatting sqref="M66">
    <cfRule type="expression" dxfId="27" priority="13">
      <formula>IF(($L$44+$M$44)&gt;$G$43,)</formula>
    </cfRule>
  </conditionalFormatting>
  <conditionalFormatting sqref="N66">
    <cfRule type="expression" dxfId="26" priority="12">
      <formula>IF(($L$44+$M$44)&gt;$G$43,)</formula>
    </cfRule>
  </conditionalFormatting>
  <conditionalFormatting sqref="M108">
    <cfRule type="expression" dxfId="25" priority="7">
      <formula>IF(($L$44+$M$44)&gt;$G$43,)</formula>
    </cfRule>
  </conditionalFormatting>
  <conditionalFormatting sqref="N108">
    <cfRule type="expression" dxfId="24" priority="6">
      <formula>IF(($L$44+$M$44)&gt;$G$43,)</formula>
    </cfRule>
  </conditionalFormatting>
  <conditionalFormatting sqref="M128">
    <cfRule type="expression" dxfId="23" priority="5">
      <formula>IF(($L$44+$M$44)&gt;$G$43,)</formula>
    </cfRule>
  </conditionalFormatting>
  <conditionalFormatting sqref="N128">
    <cfRule type="expression" dxfId="22" priority="4">
      <formula>IF(($L$44+$M$44)&gt;$G$43,)</formula>
    </cfRule>
  </conditionalFormatting>
  <conditionalFormatting sqref="M130">
    <cfRule type="expression" dxfId="21" priority="3">
      <formula>IF(($L$44+$M$44)&gt;$G$43,)</formula>
    </cfRule>
  </conditionalFormatting>
  <conditionalFormatting sqref="N130">
    <cfRule type="expression" dxfId="20" priority="2">
      <formula>IF(($L$44+$M$44)&gt;$G$43,)</formula>
    </cfRule>
  </conditionalFormatting>
  <dataValidations xWindow="703" yWindow="503" count="23">
    <dataValidation errorStyle="warning" operator="lessThanOrEqual" allowBlank="1" showInputMessage="1" errorTitle="ACHTUNG" error="Drehbuch liegt gemessen an den klakulierten Fertigungskosten über dem RICHTSATZ!" promptTitle="ACHTUNG" prompt="Sollte am Ende des Kalkulationsprozesses ein Rufzeichen-Symbol neben der Drehbuch-Eingabe stehen, bedeutet das, dass der eingegebene Wert über dem Richtwert (Referenzsatz) liegt._x000a__x000a__x000a_" sqref="G14" xr:uid="{00000000-0002-0000-0300-000000000000}"/>
    <dataValidation operator="lessThan" allowBlank="1" showInputMessage="1" showErrorMessage="1" sqref="G444:G447 T418:AA418 M26:N26 AD445:AF445 F227:F228 AD310:AF310 AD332:AF332 AD410:AF410 AD397:AF397 AD367:AF367 AD348:AF348 AD418:AF418 AD435:AF435 I26:K26 E225:F226 T206:V206 G356:G392 G396:G422 G288:G354 G424:G438 H14 T410:AA410 T397:AA397 T348:AA348 T435:AA435 T445:AA445 T367:AA367 T332:AA332 T310:AA310 Y26:AA26 H310:R310 H332:R332 H367:R367 H445:R445 H435:R435 H348:R348 H397:R397 H410:R410 H418:R418 AM50:AM51" xr:uid="{00000000-0002-0000-0300-000001000000}"/>
    <dataValidation type="whole" operator="lessThan" allowBlank="1" showInputMessage="1" showErrorMessage="1" sqref="C208" xr:uid="{00000000-0002-0000-0300-000002000000}">
      <formula1>-9.99999999999999E+28</formula1>
    </dataValidation>
    <dataValidation type="whole" operator="lessThan" allowBlank="1" showInputMessage="1" showErrorMessage="1" sqref="N206 I206:K206" xr:uid="{00000000-0002-0000-0300-000003000000}">
      <formula1>-9.99999999999999E+27</formula1>
    </dataValidation>
    <dataValidation allowBlank="1" showErrorMessage="1" sqref="E222:F222" xr:uid="{00000000-0002-0000-0300-000004000000}"/>
    <dataValidation allowBlank="1" showErrorMessage="1" promptTitle="HALLO" prompt="Leute" sqref="B28" xr:uid="{00000000-0002-0000-0300-000005000000}"/>
    <dataValidation operator="lessThanOrEqual" allowBlank="1" showInputMessage="1" showErrorMessage="1" sqref="D225 G395" xr:uid="{00000000-0002-0000-0300-000006000000}"/>
    <dataValidation type="decimal" operator="lessThanOrEqual" allowBlank="1" showInputMessage="1" showErrorMessage="1" sqref="Y439:Y443 P439:P443" xr:uid="{00000000-0002-0000-0300-000007000000}">
      <formula1>0</formula1>
    </dataValidation>
    <dataValidation type="whole" operator="lessThan" allowBlank="1" showInputMessage="1" showErrorMessage="1" sqref="W206" xr:uid="{00000000-0002-0000-0300-000009000000}">
      <formula1>-9.99999999999999E+30</formula1>
    </dataValidation>
    <dataValidation type="decimal" operator="lessThanOrEqual" allowBlank="1" showInputMessage="1" showErrorMessage="1" sqref="G394" xr:uid="{00000000-0002-0000-0300-00000A000000}">
      <formula1>3000</formula1>
    </dataValidation>
    <dataValidation operator="lessThanOrEqual" allowBlank="1" showInputMessage="1" showErrorMessage="1" errorTitle="NICHT ZULÄSSIG" error="Eingegebener Wert liegt über dem zulässigen Höchssatz_x000a_(siehe Registerblatt &quot;Richt- und Höchstsätze&quot;)" promptTitle="ACHTUNG" prompt="Sollte am Ende des Kalkulationsprozesses ein Rufzeichen-Symbol neben der Regie-Eingabe stehen, bedeutet das, dass der eingegebene Wert über dem Richtwert (Referenzsatz) liegt." sqref="E45" xr:uid="{00000000-0002-0000-0300-00000D000000}"/>
    <dataValidation type="whole" operator="lessThan" allowBlank="1" showInputMessage="1" showErrorMessage="1" sqref="AO28:AO131" xr:uid="{00000000-0002-0000-0300-000013000000}">
      <formula1>-99999</formula1>
    </dataValidation>
    <dataValidation type="whole" operator="lessThan" allowBlank="1" showInputMessage="1" showErrorMessage="1" sqref="AO11:AO27 AH1:AH445 AO132:AO204" xr:uid="{00000000-0002-0000-0300-000014000000}">
      <formula1>-999999</formula1>
    </dataValidation>
    <dataValidation type="decimal" operator="lessThan" allowBlank="1" showInputMessage="1" showErrorMessage="1" sqref="G225:H225" xr:uid="{99C1661E-5E28-4916-AE1C-7F2447D0993B}">
      <formula1>-9999</formula1>
    </dataValidation>
    <dataValidation type="decimal" operator="greaterThanOrEqual" allowBlank="1" showInputMessage="1" showErrorMessage="1" errorTitle="NICHT ZULÄSSIG" error="Eingegebener Wert liegt unterhalb der kollektivvertraglichen Mindestgage!" sqref="F14 F135 F32 F131 F125 F44:F45 F42 F47 F71 F49 F51 F53 F55 F57 F59 F61 F63 F65 F67 F69 F87 F75 F73 F81 F77 F83 F85 F89 F91 F103 F93 F95 F97 F99 F79 F129 F101 F105 F107 F109 F111 F113 F127 F115 F117 F119 F121 F123 F40 F38 F36 F34 F30" xr:uid="{00000000-0002-0000-0300-00000C000000}">
      <formula1>IF(AP14=TRUE,0,I14)</formula1>
    </dataValidation>
    <dataValidation type="decimal" operator="greaterThanOrEqual" allowBlank="1" showInputMessage="1" showErrorMessage="1" errorTitle="NICHT ZULÄSSIG" error="Eingegebener Wert liegt unterhalb der kollektivvertraglichen Mindestgage!" sqref="F29 F124 F41 F43 F46 F74 F48 F50 F52 F54 F56 F58 F60 F62 F64 F66 F68 F70 F72 F76 F80 F78 F82 F84 F88 F90 F86 F92 F94 F96 F98 F100 F128 F102 F104 F106 F108 F110 F112 F126 F114 F116 F118 F120 F122 F130 F39 F37 F35 F33 F31" xr:uid="{00000000-0002-0000-0300-000010000000}">
      <formula1>IF(AP30=TRUE,0,I29)</formula1>
    </dataValidation>
    <dataValidation type="decimal" operator="greaterThanOrEqual" allowBlank="1" showInputMessage="1" showErrorMessage="1" errorTitle="NICHT ZULÄSSIG" error="Eingegebener Wert liegt unterhalb der kollektivvertraglichen Mindestgage!" sqref="E125 E32 E131 E34 E36 E38 E40 E123 E121 E119 E117 E115 E127 E113 E111 E109 E107 E105 E101 E129 E79 E99 E97 E95 E93 E103 E91 E89 E85 E83 E77 E81 E73 E75 E87 E69 E67 E65 E63 E61 E59 E57 E55 E53 E51 E49 E71 E47 E42 E44 E30" xr:uid="{00000000-0002-0000-0300-00000E000000}">
      <formula1>IF(AJ30=TRUE,0,H30)</formula1>
    </dataValidation>
    <dataValidation type="decimal" operator="greaterThanOrEqual" allowBlank="1" showInputMessage="1" showErrorMessage="1" errorTitle="NICHT ZULÄSSIG" error="Eingegebener Wert liegt unterhalb der kollektivvertraglichen Mindestgage!" sqref="E124 E31 E33 E35 E37 E39 E130 E122 E120 E118 E116 E114 E126 E112 E110 E108 E106 E104 E102 E128 E100 E98 E96 E94 E92 E86 E90 E88 E84 E82 E78 E80 E76 E72 E70 E68 E66 E64 E62 E60 E58 E56 E54 E52 E50 E48 E74 E46 E43 E41 E29" xr:uid="{00000000-0002-0000-0300-00000F000000}">
      <formula1>IF(AJ30=TRUE,0,H29)</formula1>
    </dataValidation>
    <dataValidation type="whole" operator="lessThanOrEqual" allowBlank="1" showInputMessage="1" showErrorMessage="1" sqref="P45" xr:uid="{BF1DF016-EA72-40BB-AFC9-C18A10E6ADE7}">
      <formula1>IF(AJ45=TRUE,H45*0.8*1.3,H45*1.3)</formula1>
    </dataValidation>
    <dataValidation type="whole" operator="lessThanOrEqual" allowBlank="1" showInputMessage="1" showErrorMessage="1" sqref="P14" xr:uid="{EF88FAC1-A61E-48A5-8A4D-32B1CAE25983}">
      <formula1>H14*1.3</formula1>
    </dataValidation>
    <dataValidation type="whole" operator="lessThanOrEqual" allowBlank="1" showInputMessage="1" showErrorMessage="1" sqref="P29:P44 P46:P131" xr:uid="{DF706695-966B-4C60-8E1A-A95EBE625DD1}">
      <formula1>IF(AJ30=TRUE,(C29*H29+C30*H30)*0.8*1.3,(C29*H29+C30*H30)*1.3)</formula1>
    </dataValidation>
    <dataValidation type="whole" operator="lessThan" allowBlank="1" showInputMessage="1" showErrorMessage="1" sqref="AP3:AQ447 AI10:AL445 AN10:AN445 AM10:AM49 AM52:AM445" xr:uid="{23033192-BE8B-4D7E-8D31-2DA46B0FBF33}">
      <formula1>-9999</formula1>
    </dataValidation>
    <dataValidation type="decimal" operator="lessThanOrEqual" allowBlank="1" showInputMessage="1" showErrorMessage="1" errorTitle="ACHTUNG" error="kostenmindernde Erträge reduzieren das Budget und müssen demnach als NEGATIV-Wert eingegeben werden" sqref="G439:G443 O439:O443 Q439:R443 T439:U443 X439:X443 Z439:AA443 AD439:AF443" xr:uid="{CA0F29A0-DFFE-41DA-9C59-3431C9376E50}">
      <formula1>0</formula1>
    </dataValidation>
  </dataValidations>
  <printOptions horizontalCentered="1"/>
  <pageMargins left="0.39370078740157483" right="0.39370078740157483" top="0.78740157480314965" bottom="0.59055118110236227" header="0.39370078740157483" footer="0.27559055118110237"/>
  <pageSetup paperSize="9" scale="60" fitToHeight="0" orientation="landscape" blackAndWhite="1" r:id="rId1"/>
  <headerFooter>
    <oddHeader>&amp;R&amp;"Verdana,Standard"&amp;10Kalkulationshilfe 2023
&amp;8Version 23.1</oddHeader>
    <oddFooter>&amp;L&amp;"Verdana,Standard"&amp;10Ausdruck vom &amp;D&amp;R&amp;"Verdana,Standard"&amp;10Seite &amp;P von &amp;N</oddFooter>
  </headerFooter>
  <cellWatches>
    <cellWatch r="G14"/>
  </cellWatches>
  <ignoredErrors>
    <ignoredError sqref="G27:G28 G24 E27:E28 T218:Y218 B7:B18 G371 V212:W217 B212:B217 B61:B133 AC207:AG210 G344:G345 G348 G8 AG8 AD24:AG24 L24:P24 O8:P8 AD2:AF2 L15:M18 L205:M208 L286:P287 AD286:AG287 G286:G310 AD310:AG310 AD332:AG332 AD348:AG348 E2:F2 G352:G367 AC367:AG367 AC385:AG397 AC410:AG419 AG401:AG408 AC435:AG438 B313:B314 B335:G335 B332 B348:B395 B397:B410 A447 P332 P310 P348 G315:G332 B21:B59 O252:P254 C337:G337 C336:F336 L233:M233 M232 G435:P438 G410:P419 G385:P397 O367:P367 O207:P210 O218:P218 T436:Y438 T411:Y413 T385:Y396 T367:V367 T207:Y210 C339:G341 C338:F338 B413:B445 L132:M133 X367:Y367 T397:V397 X397:Y397 T410:V410 X410:Y410 T417:Y419 T414:W416 T444:Y444 V439:W443 T435:V435 X435:Y435 B3:B4 G444:P445 H439:N439 H440:N440 H441:N441 H442:N442 H443:N443 L285:N285 T445:W445 Y445 AC444:AG445 AC439:AC443 AG439:AG443" unlockedFormula="1"/>
    <ignoredError sqref="F45 W285 W310 W332 W348 W8 W24 H67 H30:H33 H125 H123 H117 H115 H83 H110 H108 H109 H107 H68:H82 H111:H114 H84:H106 H116 H118:H122 H124 H126:H131" formula="1"/>
    <ignoredError sqref="W206 G338 W367 W397 W410 W435"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28</xdr:row>
                    <xdr:rowOff>47625</xdr:rowOff>
                  </from>
                  <to>
                    <xdr:col>3</xdr:col>
                    <xdr:colOff>447675</xdr:colOff>
                    <xdr:row>29</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30</xdr:row>
                    <xdr:rowOff>47625</xdr:rowOff>
                  </from>
                  <to>
                    <xdr:col>3</xdr:col>
                    <xdr:colOff>447675</xdr:colOff>
                    <xdr:row>31</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32</xdr:row>
                    <xdr:rowOff>38100</xdr:rowOff>
                  </from>
                  <to>
                    <xdr:col>3</xdr:col>
                    <xdr:colOff>447675</xdr:colOff>
                    <xdr:row>33</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34</xdr:row>
                    <xdr:rowOff>47625</xdr:rowOff>
                  </from>
                  <to>
                    <xdr:col>3</xdr:col>
                    <xdr:colOff>447675</xdr:colOff>
                    <xdr:row>35</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36</xdr:row>
                    <xdr:rowOff>47625</xdr:rowOff>
                  </from>
                  <to>
                    <xdr:col>3</xdr:col>
                    <xdr:colOff>447675</xdr:colOff>
                    <xdr:row>37</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38</xdr:row>
                    <xdr:rowOff>47625</xdr:rowOff>
                  </from>
                  <to>
                    <xdr:col>3</xdr:col>
                    <xdr:colOff>447675</xdr:colOff>
                    <xdr:row>39</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40</xdr:row>
                    <xdr:rowOff>47625</xdr:rowOff>
                  </from>
                  <to>
                    <xdr:col>3</xdr:col>
                    <xdr:colOff>447675</xdr:colOff>
                    <xdr:row>41</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42</xdr:row>
                    <xdr:rowOff>57150</xdr:rowOff>
                  </from>
                  <to>
                    <xdr:col>3</xdr:col>
                    <xdr:colOff>447675</xdr:colOff>
                    <xdr:row>43</xdr:row>
                    <xdr:rowOff>114300</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44</xdr:row>
                    <xdr:rowOff>57150</xdr:rowOff>
                  </from>
                  <to>
                    <xdr:col>3</xdr:col>
                    <xdr:colOff>447675</xdr:colOff>
                    <xdr:row>44</xdr:row>
                    <xdr:rowOff>276225</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45</xdr:row>
                    <xdr:rowOff>47625</xdr:rowOff>
                  </from>
                  <to>
                    <xdr:col>3</xdr:col>
                    <xdr:colOff>447675</xdr:colOff>
                    <xdr:row>46</xdr:row>
                    <xdr:rowOff>104775</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47</xdr:row>
                    <xdr:rowOff>47625</xdr:rowOff>
                  </from>
                  <to>
                    <xdr:col>3</xdr:col>
                    <xdr:colOff>447675</xdr:colOff>
                    <xdr:row>48</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49</xdr:row>
                    <xdr:rowOff>47625</xdr:rowOff>
                  </from>
                  <to>
                    <xdr:col>3</xdr:col>
                    <xdr:colOff>447675</xdr:colOff>
                    <xdr:row>50</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51</xdr:row>
                    <xdr:rowOff>47625</xdr:rowOff>
                  </from>
                  <to>
                    <xdr:col>3</xdr:col>
                    <xdr:colOff>447675</xdr:colOff>
                    <xdr:row>52</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53</xdr:row>
                    <xdr:rowOff>47625</xdr:rowOff>
                  </from>
                  <to>
                    <xdr:col>3</xdr:col>
                    <xdr:colOff>447675</xdr:colOff>
                    <xdr:row>54</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55</xdr:row>
                    <xdr:rowOff>47625</xdr:rowOff>
                  </from>
                  <to>
                    <xdr:col>3</xdr:col>
                    <xdr:colOff>447675</xdr:colOff>
                    <xdr:row>56</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57</xdr:row>
                    <xdr:rowOff>47625</xdr:rowOff>
                  </from>
                  <to>
                    <xdr:col>3</xdr:col>
                    <xdr:colOff>447675</xdr:colOff>
                    <xdr:row>58</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59</xdr:row>
                    <xdr:rowOff>47625</xdr:rowOff>
                  </from>
                  <to>
                    <xdr:col>3</xdr:col>
                    <xdr:colOff>447675</xdr:colOff>
                    <xdr:row>60</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61</xdr:row>
                    <xdr:rowOff>47625</xdr:rowOff>
                  </from>
                  <to>
                    <xdr:col>3</xdr:col>
                    <xdr:colOff>447675</xdr:colOff>
                    <xdr:row>62</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63</xdr:row>
                    <xdr:rowOff>47625</xdr:rowOff>
                  </from>
                  <to>
                    <xdr:col>3</xdr:col>
                    <xdr:colOff>447675</xdr:colOff>
                    <xdr:row>64</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65</xdr:row>
                    <xdr:rowOff>47625</xdr:rowOff>
                  </from>
                  <to>
                    <xdr:col>3</xdr:col>
                    <xdr:colOff>447675</xdr:colOff>
                    <xdr:row>66</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67</xdr:row>
                    <xdr:rowOff>47625</xdr:rowOff>
                  </from>
                  <to>
                    <xdr:col>3</xdr:col>
                    <xdr:colOff>447675</xdr:colOff>
                    <xdr:row>68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69</xdr:row>
                    <xdr:rowOff>47625</xdr:rowOff>
                  </from>
                  <to>
                    <xdr:col>3</xdr:col>
                    <xdr:colOff>447675</xdr:colOff>
                    <xdr:row>70</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71</xdr:row>
                    <xdr:rowOff>47625</xdr:rowOff>
                  </from>
                  <to>
                    <xdr:col>3</xdr:col>
                    <xdr:colOff>447675</xdr:colOff>
                    <xdr:row>72</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73</xdr:row>
                    <xdr:rowOff>47625</xdr:rowOff>
                  </from>
                  <to>
                    <xdr:col>3</xdr:col>
                    <xdr:colOff>447675</xdr:colOff>
                    <xdr:row>74</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75</xdr:row>
                    <xdr:rowOff>47625</xdr:rowOff>
                  </from>
                  <to>
                    <xdr:col>3</xdr:col>
                    <xdr:colOff>447675</xdr:colOff>
                    <xdr:row>76</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77</xdr:row>
                    <xdr:rowOff>47625</xdr:rowOff>
                  </from>
                  <to>
                    <xdr:col>3</xdr:col>
                    <xdr:colOff>447675</xdr:colOff>
                    <xdr:row>78</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79</xdr:row>
                    <xdr:rowOff>47625</xdr:rowOff>
                  </from>
                  <to>
                    <xdr:col>3</xdr:col>
                    <xdr:colOff>447675</xdr:colOff>
                    <xdr:row>80</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81</xdr:row>
                    <xdr:rowOff>47625</xdr:rowOff>
                  </from>
                  <to>
                    <xdr:col>3</xdr:col>
                    <xdr:colOff>447675</xdr:colOff>
                    <xdr:row>82</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83</xdr:row>
                    <xdr:rowOff>47625</xdr:rowOff>
                  </from>
                  <to>
                    <xdr:col>3</xdr:col>
                    <xdr:colOff>447675</xdr:colOff>
                    <xdr:row>84</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85</xdr:row>
                    <xdr:rowOff>47625</xdr:rowOff>
                  </from>
                  <to>
                    <xdr:col>3</xdr:col>
                    <xdr:colOff>447675</xdr:colOff>
                    <xdr:row>86</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87</xdr:row>
                    <xdr:rowOff>47625</xdr:rowOff>
                  </from>
                  <to>
                    <xdr:col>3</xdr:col>
                    <xdr:colOff>447675</xdr:colOff>
                    <xdr:row>88</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89</xdr:row>
                    <xdr:rowOff>57150</xdr:rowOff>
                  </from>
                  <to>
                    <xdr:col>3</xdr:col>
                    <xdr:colOff>447675</xdr:colOff>
                    <xdr:row>90</xdr:row>
                    <xdr:rowOff>114300</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91</xdr:row>
                    <xdr:rowOff>57150</xdr:rowOff>
                  </from>
                  <to>
                    <xdr:col>3</xdr:col>
                    <xdr:colOff>447675</xdr:colOff>
                    <xdr:row>92</xdr:row>
                    <xdr:rowOff>114300</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93</xdr:row>
                    <xdr:rowOff>57150</xdr:rowOff>
                  </from>
                  <to>
                    <xdr:col>3</xdr:col>
                    <xdr:colOff>447675</xdr:colOff>
                    <xdr:row>94</xdr:row>
                    <xdr:rowOff>114300</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95</xdr:row>
                    <xdr:rowOff>57150</xdr:rowOff>
                  </from>
                  <to>
                    <xdr:col>3</xdr:col>
                    <xdr:colOff>447675</xdr:colOff>
                    <xdr:row>96</xdr:row>
                    <xdr:rowOff>114300</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97</xdr:row>
                    <xdr:rowOff>57150</xdr:rowOff>
                  </from>
                  <to>
                    <xdr:col>3</xdr:col>
                    <xdr:colOff>447675</xdr:colOff>
                    <xdr:row>98</xdr:row>
                    <xdr:rowOff>114300</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99</xdr:row>
                    <xdr:rowOff>57150</xdr:rowOff>
                  </from>
                  <to>
                    <xdr:col>3</xdr:col>
                    <xdr:colOff>447675</xdr:colOff>
                    <xdr:row>100</xdr:row>
                    <xdr:rowOff>114300</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101</xdr:row>
                    <xdr:rowOff>57150</xdr:rowOff>
                  </from>
                  <to>
                    <xdr:col>3</xdr:col>
                    <xdr:colOff>447675</xdr:colOff>
                    <xdr:row>102</xdr:row>
                    <xdr:rowOff>114300</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103</xdr:row>
                    <xdr:rowOff>57150</xdr:rowOff>
                  </from>
                  <to>
                    <xdr:col>3</xdr:col>
                    <xdr:colOff>447675</xdr:colOff>
                    <xdr:row>104</xdr:row>
                    <xdr:rowOff>114300</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105</xdr:row>
                    <xdr:rowOff>57150</xdr:rowOff>
                  </from>
                  <to>
                    <xdr:col>3</xdr:col>
                    <xdr:colOff>447675</xdr:colOff>
                    <xdr:row>106</xdr:row>
                    <xdr:rowOff>114300</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107</xdr:row>
                    <xdr:rowOff>47625</xdr:rowOff>
                  </from>
                  <to>
                    <xdr:col>3</xdr:col>
                    <xdr:colOff>447675</xdr:colOff>
                    <xdr:row>108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109</xdr:row>
                    <xdr:rowOff>47625</xdr:rowOff>
                  </from>
                  <to>
                    <xdr:col>3</xdr:col>
                    <xdr:colOff>447675</xdr:colOff>
                    <xdr:row>110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111</xdr:row>
                    <xdr:rowOff>47625</xdr:rowOff>
                  </from>
                  <to>
                    <xdr:col>3</xdr:col>
                    <xdr:colOff>447675</xdr:colOff>
                    <xdr:row>112</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113</xdr:row>
                    <xdr:rowOff>47625</xdr:rowOff>
                  </from>
                  <to>
                    <xdr:col>3</xdr:col>
                    <xdr:colOff>447675</xdr:colOff>
                    <xdr:row>114</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115</xdr:row>
                    <xdr:rowOff>47625</xdr:rowOff>
                  </from>
                  <to>
                    <xdr:col>3</xdr:col>
                    <xdr:colOff>447675</xdr:colOff>
                    <xdr:row>116</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117</xdr:row>
                    <xdr:rowOff>47625</xdr:rowOff>
                  </from>
                  <to>
                    <xdr:col>3</xdr:col>
                    <xdr:colOff>447675</xdr:colOff>
                    <xdr:row>118</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119</xdr:row>
                    <xdr:rowOff>57150</xdr:rowOff>
                  </from>
                  <to>
                    <xdr:col>3</xdr:col>
                    <xdr:colOff>447675</xdr:colOff>
                    <xdr:row>120</xdr:row>
                    <xdr:rowOff>114300</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121</xdr:row>
                    <xdr:rowOff>57150</xdr:rowOff>
                  </from>
                  <to>
                    <xdr:col>3</xdr:col>
                    <xdr:colOff>447675</xdr:colOff>
                    <xdr:row>122</xdr:row>
                    <xdr:rowOff>114300</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123</xdr:row>
                    <xdr:rowOff>57150</xdr:rowOff>
                  </from>
                  <to>
                    <xdr:col>3</xdr:col>
                    <xdr:colOff>447675</xdr:colOff>
                    <xdr:row>124</xdr:row>
                    <xdr:rowOff>114300</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125</xdr:row>
                    <xdr:rowOff>57150</xdr:rowOff>
                  </from>
                  <to>
                    <xdr:col>3</xdr:col>
                    <xdr:colOff>447675</xdr:colOff>
                    <xdr:row>126</xdr:row>
                    <xdr:rowOff>114300</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127</xdr:row>
                    <xdr:rowOff>57150</xdr:rowOff>
                  </from>
                  <to>
                    <xdr:col>3</xdr:col>
                    <xdr:colOff>447675</xdr:colOff>
                    <xdr:row>128</xdr:row>
                    <xdr:rowOff>114300</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129</xdr:row>
                    <xdr:rowOff>57150</xdr:rowOff>
                  </from>
                  <to>
                    <xdr:col>3</xdr:col>
                    <xdr:colOff>447675</xdr:colOff>
                    <xdr:row>130</xdr:row>
                    <xdr:rowOff>114300</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12</xdr:row>
                    <xdr:rowOff>123825</xdr:rowOff>
                  </from>
                  <to>
                    <xdr:col>3</xdr:col>
                    <xdr:colOff>447675</xdr:colOff>
                    <xdr:row>14</xdr:row>
                    <xdr:rowOff>19050</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290</xdr:row>
                    <xdr:rowOff>133350</xdr:rowOff>
                  </from>
                  <to>
                    <xdr:col>3</xdr:col>
                    <xdr:colOff>447675</xdr:colOff>
                    <xdr:row>292</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292</xdr:row>
                    <xdr:rowOff>123825</xdr:rowOff>
                  </from>
                  <to>
                    <xdr:col>3</xdr:col>
                    <xdr:colOff>447675</xdr:colOff>
                    <xdr:row>294</xdr:row>
                    <xdr:rowOff>19050</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295</xdr:row>
                    <xdr:rowOff>133350</xdr:rowOff>
                  </from>
                  <to>
                    <xdr:col>3</xdr:col>
                    <xdr:colOff>447675</xdr:colOff>
                    <xdr:row>297</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351</xdr:row>
                    <xdr:rowOff>123825</xdr:rowOff>
                  </from>
                  <to>
                    <xdr:col>3</xdr:col>
                    <xdr:colOff>447675</xdr:colOff>
                    <xdr:row>353</xdr:row>
                    <xdr:rowOff>19050</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352</xdr:row>
                    <xdr:rowOff>133350</xdr:rowOff>
                  </from>
                  <to>
                    <xdr:col>3</xdr:col>
                    <xdr:colOff>447675</xdr:colOff>
                    <xdr:row>354</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354</xdr:row>
                    <xdr:rowOff>123825</xdr:rowOff>
                  </from>
                  <to>
                    <xdr:col>3</xdr:col>
                    <xdr:colOff>447675</xdr:colOff>
                    <xdr:row>356</xdr:row>
                    <xdr:rowOff>19050</xdr:rowOff>
                  </to>
                </anchor>
              </controlPr>
            </control>
          </mc:Choice>
        </mc:AlternateContent>
        <mc:AlternateContent xmlns:mc="http://schemas.openxmlformats.org/markup-compatibility/2006">
          <mc:Choice Requires="x14">
            <control shapeId="18913" r:id="rId63" name="Check Box 481">
              <controlPr defaultSize="0" autoFill="0" autoLine="0" autoPict="0">
                <anchor moveWithCells="1">
                  <from>
                    <xdr:col>1</xdr:col>
                    <xdr:colOff>1419225</xdr:colOff>
                    <xdr:row>62</xdr:row>
                    <xdr:rowOff>133350</xdr:rowOff>
                  </from>
                  <to>
                    <xdr:col>1</xdr:col>
                    <xdr:colOff>1724025</xdr:colOff>
                    <xdr:row>64</xdr:row>
                    <xdr:rowOff>28575</xdr:rowOff>
                  </to>
                </anchor>
              </controlPr>
            </control>
          </mc:Choice>
        </mc:AlternateContent>
        <mc:AlternateContent xmlns:mc="http://schemas.openxmlformats.org/markup-compatibility/2006">
          <mc:Choice Requires="x14">
            <control shapeId="18954" r:id="rId64" name="Check Box 522">
              <controlPr defaultSize="0" autoFill="0" autoLine="0" autoPict="0">
                <anchor moveWithCells="1">
                  <from>
                    <xdr:col>3</xdr:col>
                    <xdr:colOff>142875</xdr:colOff>
                    <xdr:row>132</xdr:row>
                    <xdr:rowOff>123825</xdr:rowOff>
                  </from>
                  <to>
                    <xdr:col>3</xdr:col>
                    <xdr:colOff>447675</xdr:colOff>
                    <xdr:row>134</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804" operator="greaterThan" id="{F24DDC7E-F562-4D89-8D77-4D458FC9F7BA}">
            <xm:f>Stammblatt!$B$27*17</xm:f>
            <x14:dxf>
              <fill>
                <patternFill>
                  <bgColor rgb="FFFF0000"/>
                </patternFill>
              </fill>
            </x14:dxf>
          </x14:cfRule>
          <xm:sqref>G394</xm:sqref>
        </x14:conditionalFormatting>
        <x14:conditionalFormatting xmlns:xm="http://schemas.microsoft.com/office/excel/2006/main">
          <x14:cfRule type="cellIs" priority="803" operator="greaterThan" id="{67369653-02C1-4679-90CD-8755E4DF9563}">
            <xm:f>Stammblatt!$B$27*50</xm:f>
            <x14:dxf>
              <fill>
                <patternFill>
                  <bgColor rgb="FFFF0000"/>
                </patternFill>
              </fill>
            </x14:dxf>
          </x14:cfRule>
          <xm:sqref>G395</xm:sqref>
        </x14:conditionalFormatting>
        <x14:conditionalFormatting xmlns:xm="http://schemas.microsoft.com/office/excel/2006/main">
          <x14:cfRule type="expression" priority="1" id="{C36966A0-46A0-459A-8A3D-F364C8E311CD}">
            <xm:f>AND(Stammblatt!$I$10=TRUE,Stab_Ö_Lohnnebenkosten!$W$59&gt;$AK$134)</xm:f>
            <x14:dxf>
              <fill>
                <patternFill>
                  <bgColor rgb="FFFF0000"/>
                </patternFill>
              </fill>
            </x14:dxf>
          </x14:cfRule>
          <x14:cfRule type="expression" priority="47" id="{4BA56A18-5977-4A1E-914E-810433B54701}">
            <xm:f>Stab_Ö_Lohnnebenkosten!$W$59&gt;$AI$134</xm:f>
            <x14:dxf>
              <fill>
                <patternFill>
                  <bgColor rgb="FFFF0000"/>
                </patternFill>
              </fill>
            </x14:dxf>
          </x14:cfRule>
          <xm:sqref>G134</xm:sqref>
        </x14:conditionalFormatting>
        <x14:conditionalFormatting xmlns:xm="http://schemas.microsoft.com/office/excel/2006/main">
          <x14:cfRule type="iconSet" priority="945" id="{A6ADC5E3-78D8-4E68-A44E-13DC4A0865B9}">
            <x14:iconSet iconSet="3Symbols" showValue="0" custom="1">
              <x14:cfvo type="percent">
                <xm:f>0</xm:f>
              </x14:cfvo>
              <x14:cfvo type="formula">
                <xm:f>$H$44*1.2</xm:f>
              </x14:cfvo>
              <x14:cfvo type="formula">
                <xm:f>IF($AJ$44=TRUE,$AI$44*1.3,$H$44*1.3)</xm:f>
              </x14:cfvo>
              <x14:cfIcon iconSet="NoIcons" iconId="0"/>
              <x14:cfIcon iconSet="3Signs" iconId="1"/>
              <x14:cfIcon iconSet="3Symbols" iconId="0"/>
            </x14:iconSet>
          </x14:cfRule>
          <xm:sqref>F44</xm:sqref>
        </x14:conditionalFormatting>
        <x14:conditionalFormatting xmlns:xm="http://schemas.microsoft.com/office/excel/2006/main">
          <x14:cfRule type="iconSet" priority="946" id="{4AD7E2DC-3BA8-4FF5-A0EA-B7C12B77F74D}">
            <x14:iconSet iconSet="3Symbols" showValue="0" custom="1">
              <x14:cfvo type="percent">
                <xm:f>0</xm:f>
              </x14:cfvo>
              <x14:cfvo type="formula">
                <xm:f>$H$43*1.2</xm:f>
              </x14:cfvo>
              <x14:cfvo type="formula">
                <xm:f>IF($AJ$44=TRUE,$AI$43*1.3,$H$43*1.3)</xm:f>
              </x14:cfvo>
              <x14:cfIcon iconSet="NoIcons" iconId="0"/>
              <x14:cfIcon iconSet="3Signs" iconId="1"/>
              <x14:cfIcon iconSet="3Symbols" iconId="0"/>
            </x14:iconSet>
          </x14:cfRule>
          <xm:sqref>F43</xm:sqref>
        </x14:conditionalFormatting>
        <x14:conditionalFormatting xmlns:xm="http://schemas.microsoft.com/office/excel/2006/main">
          <x14:cfRule type="iconSet" priority="947" id="{FF25E153-E946-470A-8902-A8EF9251E9E7}">
            <x14:iconSet iconSet="3Symbols" showValue="0" custom="1">
              <x14:cfvo type="percent">
                <xm:f>0</xm:f>
              </x14:cfvo>
              <x14:cfvo type="formula">
                <xm:f>$H$30*1.2</xm:f>
              </x14:cfvo>
              <x14:cfvo type="formula" gte="0">
                <xm:f>IF($AJ$30=TRUE,$AI$30*1.3,$H$30*1.3)</xm:f>
              </x14:cfvo>
              <x14:cfIcon iconSet="NoIcons" iconId="0"/>
              <x14:cfIcon iconSet="3Signs" iconId="1"/>
              <x14:cfIcon iconSet="3Symbols" iconId="0"/>
            </x14:iconSet>
          </x14:cfRule>
          <xm:sqref>F30</xm:sqref>
        </x14:conditionalFormatting>
        <x14:conditionalFormatting xmlns:xm="http://schemas.microsoft.com/office/excel/2006/main">
          <x14:cfRule type="iconSet" priority="948" id="{255AB628-6193-4E67-B72A-01D5053022DC}">
            <x14:iconSet iconSet="3Symbols" showValue="0" custom="1">
              <x14:cfvo type="percent">
                <xm:f>0</xm:f>
              </x14:cfvo>
              <x14:cfvo type="formula">
                <xm:f>$H$29*1.2</xm:f>
              </x14:cfvo>
              <x14:cfvo type="formula" gte="0">
                <xm:f>IF($AJ$30=TRUE,$AI$29*1.3,$H$29*1.3)</xm:f>
              </x14:cfvo>
              <x14:cfIcon iconSet="NoIcons" iconId="0"/>
              <x14:cfIcon iconSet="3Signs" iconId="1"/>
              <x14:cfIcon iconSet="3Symbols" iconId="0"/>
            </x14:iconSet>
          </x14:cfRule>
          <xm:sqref>F29</xm:sqref>
        </x14:conditionalFormatting>
        <x14:conditionalFormatting xmlns:xm="http://schemas.microsoft.com/office/excel/2006/main">
          <x14:cfRule type="iconSet" priority="949" id="{85486027-A6B4-45B2-8DD8-8902DE92688A}">
            <x14:iconSet iconSet="3Symbols" showValue="0" custom="1">
              <x14:cfvo type="percent">
                <xm:f>0</xm:f>
              </x14:cfvo>
              <x14:cfvo type="formula">
                <xm:f>$H$31*1.2</xm:f>
              </x14:cfvo>
              <x14:cfvo type="formula" gte="0">
                <xm:f>IF($AJ$32=TRUE,$AI$31*1.3,$H$31*1.3)</xm:f>
              </x14:cfvo>
              <x14:cfIcon iconSet="NoIcons" iconId="0"/>
              <x14:cfIcon iconSet="3Signs" iconId="1"/>
              <x14:cfIcon iconSet="3Symbols" iconId="0"/>
            </x14:iconSet>
          </x14:cfRule>
          <xm:sqref>F31</xm:sqref>
        </x14:conditionalFormatting>
        <x14:conditionalFormatting xmlns:xm="http://schemas.microsoft.com/office/excel/2006/main">
          <x14:cfRule type="iconSet" priority="950" id="{3B00D763-0862-40FF-BDE1-E79AEA90478D}">
            <x14:iconSet iconSet="3Symbols" showValue="0" custom="1">
              <x14:cfvo type="percent">
                <xm:f>0</xm:f>
              </x14:cfvo>
              <x14:cfvo type="formula">
                <xm:f>$H$40*1.2</xm:f>
              </x14:cfvo>
              <x14:cfvo type="formula" gte="0">
                <xm:f>IF($AJ$40=TRUE,$AI$40*1.3,$H$40*1.3)</xm:f>
              </x14:cfvo>
              <x14:cfIcon iconSet="NoIcons" iconId="0"/>
              <x14:cfIcon iconSet="3Signs" iconId="1"/>
              <x14:cfIcon iconSet="3Symbols" iconId="0"/>
            </x14:iconSet>
          </x14:cfRule>
          <xm:sqref>F40</xm:sqref>
        </x14:conditionalFormatting>
        <x14:conditionalFormatting xmlns:xm="http://schemas.microsoft.com/office/excel/2006/main">
          <x14:cfRule type="iconSet" priority="951" id="{6EA2DB7D-3B03-4BC4-A5F9-48436E004571}">
            <x14:iconSet iconSet="3Symbols" showValue="0" custom="1">
              <x14:cfvo type="percent">
                <xm:f>0</xm:f>
              </x14:cfvo>
              <x14:cfvo type="formula">
                <xm:f>$H$39*1.2</xm:f>
              </x14:cfvo>
              <x14:cfvo type="formula" gte="0">
                <xm:f>IF($AJ$40=TRUE,$AI$39*1.3,$H$39*1.3)</xm:f>
              </x14:cfvo>
              <x14:cfIcon iconSet="NoIcons" iconId="0"/>
              <x14:cfIcon iconSet="3Signs" iconId="1"/>
              <x14:cfIcon iconSet="3Symbols" iconId="0"/>
            </x14:iconSet>
          </x14:cfRule>
          <xm:sqref>F39</xm:sqref>
        </x14:conditionalFormatting>
        <x14:conditionalFormatting xmlns:xm="http://schemas.microsoft.com/office/excel/2006/main">
          <x14:cfRule type="iconSet" priority="952" id="{24BD8E7D-5926-4815-B37D-20B19EE319F6}">
            <x14:iconSet iconSet="3Symbols" showValue="0" custom="1">
              <x14:cfvo type="percent">
                <xm:f>0</xm:f>
              </x14:cfvo>
              <x14:cfvo type="formula">
                <xm:f>$H$38*1.2</xm:f>
              </x14:cfvo>
              <x14:cfvo type="formula" gte="0">
                <xm:f>IF($AJ$38=TRUE,$AI$38*1.3,$H$38*1.3)</xm:f>
              </x14:cfvo>
              <x14:cfIcon iconSet="NoIcons" iconId="0"/>
              <x14:cfIcon iconSet="3Signs" iconId="1"/>
              <x14:cfIcon iconSet="3Symbols" iconId="0"/>
            </x14:iconSet>
          </x14:cfRule>
          <xm:sqref>F38</xm:sqref>
        </x14:conditionalFormatting>
        <x14:conditionalFormatting xmlns:xm="http://schemas.microsoft.com/office/excel/2006/main">
          <x14:cfRule type="iconSet" priority="953" id="{7FDF9F26-010F-4A29-AE8F-B7543177C6FC}">
            <x14:iconSet iconSet="3Symbols" showValue="0" custom="1">
              <x14:cfvo type="percent">
                <xm:f>0</xm:f>
              </x14:cfvo>
              <x14:cfvo type="formula">
                <xm:f>$H$37*1.2</xm:f>
              </x14:cfvo>
              <x14:cfvo type="formula" gte="0">
                <xm:f>IF($AJ$38=TRUE,$AI$37*1.3,$H$37*1.3)</xm:f>
              </x14:cfvo>
              <x14:cfIcon iconSet="NoIcons" iconId="0"/>
              <x14:cfIcon iconSet="3Signs" iconId="1"/>
              <x14:cfIcon iconSet="3Symbols" iconId="0"/>
            </x14:iconSet>
          </x14:cfRule>
          <xm:sqref>F37</xm:sqref>
        </x14:conditionalFormatting>
        <x14:conditionalFormatting xmlns:xm="http://schemas.microsoft.com/office/excel/2006/main">
          <x14:cfRule type="iconSet" priority="954" id="{D5C31A52-E512-47C3-95BC-5C3BD5B39E4A}">
            <x14:iconSet iconSet="3Symbols" showValue="0" custom="1">
              <x14:cfvo type="percent">
                <xm:f>0</xm:f>
              </x14:cfvo>
              <x14:cfvo type="formula">
                <xm:f>$H$36*1.2</xm:f>
              </x14:cfvo>
              <x14:cfvo type="formula" gte="0">
                <xm:f>IF($AJ$36=TRUE,$AI$36*1.3,$H$36*1.3)</xm:f>
              </x14:cfvo>
              <x14:cfIcon iconSet="NoIcons" iconId="0"/>
              <x14:cfIcon iconSet="3Signs" iconId="1"/>
              <x14:cfIcon iconSet="3Symbols" iconId="0"/>
            </x14:iconSet>
          </x14:cfRule>
          <xm:sqref>F36</xm:sqref>
        </x14:conditionalFormatting>
        <x14:conditionalFormatting xmlns:xm="http://schemas.microsoft.com/office/excel/2006/main">
          <x14:cfRule type="iconSet" priority="955" id="{F8BCC565-65FB-45D6-8A37-BD3E3F6F5747}">
            <x14:iconSet iconSet="3Symbols" showValue="0" custom="1">
              <x14:cfvo type="percent">
                <xm:f>0</xm:f>
              </x14:cfvo>
              <x14:cfvo type="formula">
                <xm:f>$H$35*1.2</xm:f>
              </x14:cfvo>
              <x14:cfvo type="formula" gte="0">
                <xm:f>IF($AJ$36=TRUE,$AI$35*1.3,$H$35*1.3)</xm:f>
              </x14:cfvo>
              <x14:cfIcon iconSet="NoIcons" iconId="0"/>
              <x14:cfIcon iconSet="3Signs" iconId="1"/>
              <x14:cfIcon iconSet="3Symbols" iconId="0"/>
            </x14:iconSet>
          </x14:cfRule>
          <xm:sqref>F35</xm:sqref>
        </x14:conditionalFormatting>
        <x14:conditionalFormatting xmlns:xm="http://schemas.microsoft.com/office/excel/2006/main">
          <x14:cfRule type="iconSet" priority="956" id="{756758E4-CBB4-4B21-A344-345680DD0B40}">
            <x14:iconSet iconSet="3Symbols" showValue="0" custom="1">
              <x14:cfvo type="percent">
                <xm:f>0</xm:f>
              </x14:cfvo>
              <x14:cfvo type="formula">
                <xm:f>$H$34*1.2</xm:f>
              </x14:cfvo>
              <x14:cfvo type="formula" gte="0">
                <xm:f>IF($AJ$34=TRUE,$AI$34*1.3,$H$34*1.3)</xm:f>
              </x14:cfvo>
              <x14:cfIcon iconSet="NoIcons" iconId="0"/>
              <x14:cfIcon iconSet="3Signs" iconId="1"/>
              <x14:cfIcon iconSet="3Symbols" iconId="0"/>
            </x14:iconSet>
          </x14:cfRule>
          <xm:sqref>F34</xm:sqref>
        </x14:conditionalFormatting>
        <x14:conditionalFormatting xmlns:xm="http://schemas.microsoft.com/office/excel/2006/main">
          <x14:cfRule type="iconSet" priority="957" id="{B37510AA-5DB9-4D35-9A73-93EF331C6D0D}">
            <x14:iconSet iconSet="3Symbols" showValue="0" custom="1">
              <x14:cfvo type="percent">
                <xm:f>0</xm:f>
              </x14:cfvo>
              <x14:cfvo type="formula">
                <xm:f>$H$33*1.2</xm:f>
              </x14:cfvo>
              <x14:cfvo type="formula" gte="0">
                <xm:f>IF($AJ$34=TRUE,$AI$33*1.3,$H$33*1.3)</xm:f>
              </x14:cfvo>
              <x14:cfIcon iconSet="NoIcons" iconId="0"/>
              <x14:cfIcon iconSet="3Signs" iconId="1"/>
              <x14:cfIcon iconSet="3Symbols" iconId="0"/>
            </x14:iconSet>
          </x14:cfRule>
          <xm:sqref>F33</xm:sqref>
        </x14:conditionalFormatting>
        <x14:conditionalFormatting xmlns:xm="http://schemas.microsoft.com/office/excel/2006/main">
          <x14:cfRule type="iconSet" priority="958" id="{2F3C6742-71C3-440F-9F7F-150C77271083}">
            <x14:iconSet iconSet="3Symbols" showValue="0" custom="1">
              <x14:cfvo type="percent">
                <xm:f>0</xm:f>
              </x14:cfvo>
              <x14:cfvo type="formula">
                <xm:f>$H$42*1.2</xm:f>
              </x14:cfvo>
              <x14:cfvo type="formula" gte="0">
                <xm:f>IF($AJ$42=TRUE,$AI$42*1.3,$H$42*1.3)</xm:f>
              </x14:cfvo>
              <x14:cfIcon iconSet="NoIcons" iconId="0"/>
              <x14:cfIcon iconSet="3Signs" iconId="1"/>
              <x14:cfIcon iconSet="3Symbols" iconId="0"/>
            </x14:iconSet>
          </x14:cfRule>
          <xm:sqref>F42</xm:sqref>
        </x14:conditionalFormatting>
        <x14:conditionalFormatting xmlns:xm="http://schemas.microsoft.com/office/excel/2006/main">
          <x14:cfRule type="iconSet" priority="959" id="{CCCD1D80-C076-421C-AF45-22CF2A368EB2}">
            <x14:iconSet iconSet="3Symbols" showValue="0" custom="1">
              <x14:cfvo type="percent">
                <xm:f>0</xm:f>
              </x14:cfvo>
              <x14:cfvo type="formula">
                <xm:f>$H$41*1.2</xm:f>
              </x14:cfvo>
              <x14:cfvo type="formula" gte="0">
                <xm:f>IF($AJ$42=TRUE,$AI$41*1.3,$H$41*1.3)</xm:f>
              </x14:cfvo>
              <x14:cfIcon iconSet="NoIcons" iconId="0"/>
              <x14:cfIcon iconSet="3Signs" iconId="1"/>
              <x14:cfIcon iconSet="3Symbols" iconId="0"/>
            </x14:iconSet>
          </x14:cfRule>
          <xm:sqref>F41</xm:sqref>
        </x14:conditionalFormatting>
        <x14:conditionalFormatting xmlns:xm="http://schemas.microsoft.com/office/excel/2006/main">
          <x14:cfRule type="iconSet" priority="960" id="{42A0B7D7-A193-43D1-8982-1AF6E5784363}">
            <x14:iconSet iconSet="3Symbols" showValue="0" custom="1">
              <x14:cfvo type="percent">
                <xm:f>0</xm:f>
              </x14:cfvo>
              <x14:cfvo type="formula">
                <xm:f>0</xm:f>
              </x14:cfvo>
              <x14:cfvo type="formula" gte="0">
                <xm:f>IF($AJ$45=TRUE,$AI$45,$H$45)</xm:f>
              </x14:cfvo>
              <x14:cfIcon iconSet="NoIcons" iconId="0"/>
              <x14:cfIcon iconSet="NoIcons" iconId="0"/>
              <x14:cfIcon iconSet="3Symbols" iconId="1"/>
            </x14:iconSet>
          </x14:cfRule>
          <xm:sqref>F45</xm:sqref>
        </x14:conditionalFormatting>
        <x14:conditionalFormatting xmlns:xm="http://schemas.microsoft.com/office/excel/2006/main">
          <x14:cfRule type="iconSet" priority="961" id="{4765206E-F750-412D-B035-EEF7DCCCDA5B}">
            <x14:iconSet iconSet="3Symbols" custom="1">
              <x14:cfvo type="percent">
                <xm:f>0</xm:f>
              </x14:cfvo>
              <x14:cfvo type="formula">
                <xm:f>$H$47*1.2</xm:f>
              </x14:cfvo>
              <x14:cfvo type="formula">
                <xm:f>IF($AJ$47=TRUE,$AI$47*1.3,$H$47*1.3)</xm:f>
              </x14:cfvo>
              <x14:cfIcon iconSet="NoIcons" iconId="0"/>
              <x14:cfIcon iconSet="3Signs" iconId="1"/>
              <x14:cfIcon iconSet="3Symbols" iconId="0"/>
            </x14:iconSet>
          </x14:cfRule>
          <xm:sqref>F47</xm:sqref>
        </x14:conditionalFormatting>
        <x14:conditionalFormatting xmlns:xm="http://schemas.microsoft.com/office/excel/2006/main">
          <x14:cfRule type="iconSet" priority="962" id="{722AB688-27C4-4537-8D68-952A993402C4}">
            <x14:iconSet iconSet="3Symbols" custom="1">
              <x14:cfvo type="percent">
                <xm:f>0</xm:f>
              </x14:cfvo>
              <x14:cfvo type="formula">
                <xm:f>$H$46*1.2</xm:f>
              </x14:cfvo>
              <x14:cfvo type="formula">
                <xm:f>IF($AJ$47=TRUE,$AI$46*1.3,$H$46*1.3)</xm:f>
              </x14:cfvo>
              <x14:cfIcon iconSet="NoIcons" iconId="0"/>
              <x14:cfIcon iconSet="3Signs" iconId="1"/>
              <x14:cfIcon iconSet="3Symbols" iconId="0"/>
            </x14:iconSet>
          </x14:cfRule>
          <xm:sqref>F46</xm:sqref>
        </x14:conditionalFormatting>
        <x14:conditionalFormatting xmlns:xm="http://schemas.microsoft.com/office/excel/2006/main">
          <x14:cfRule type="iconSet" priority="963" id="{BE5FA7D9-64DF-4C5C-8B2D-AA19F044A111}">
            <x14:iconSet iconSet="3Symbols" custom="1">
              <x14:cfvo type="percent">
                <xm:f>0</xm:f>
              </x14:cfvo>
              <x14:cfvo type="formula">
                <xm:f>$H$49*1.2</xm:f>
              </x14:cfvo>
              <x14:cfvo type="formula">
                <xm:f>IF($AJ$49=TRUE,$AI$49*1.3,$H$49*1.3)</xm:f>
              </x14:cfvo>
              <x14:cfIcon iconSet="NoIcons" iconId="0"/>
              <x14:cfIcon iconSet="3Signs" iconId="1"/>
              <x14:cfIcon iconSet="3Symbols" iconId="0"/>
            </x14:iconSet>
          </x14:cfRule>
          <xm:sqref>F49</xm:sqref>
        </x14:conditionalFormatting>
        <x14:conditionalFormatting xmlns:xm="http://schemas.microsoft.com/office/excel/2006/main">
          <x14:cfRule type="iconSet" priority="964" id="{C2519894-F385-44A7-AA05-27E46BEEEC2C}">
            <x14:iconSet iconSet="3Symbols" custom="1">
              <x14:cfvo type="percent">
                <xm:f>0</xm:f>
              </x14:cfvo>
              <x14:cfvo type="formula">
                <xm:f>$H$50*1.2</xm:f>
              </x14:cfvo>
              <x14:cfvo type="formula">
                <xm:f>IF($AJ$51=TRUE,$AI$50*1.3,$H$50*1.3)</xm:f>
              </x14:cfvo>
              <x14:cfIcon iconSet="NoIcons" iconId="0"/>
              <x14:cfIcon iconSet="3Signs" iconId="1"/>
              <x14:cfIcon iconSet="3Symbols" iconId="0"/>
            </x14:iconSet>
          </x14:cfRule>
          <xm:sqref>F50</xm:sqref>
        </x14:conditionalFormatting>
        <x14:conditionalFormatting xmlns:xm="http://schemas.microsoft.com/office/excel/2006/main">
          <x14:cfRule type="iconSet" priority="965" id="{4DC4C7D3-06D9-4F4F-B128-6312329232D3}">
            <x14:iconSet iconSet="3Symbols" custom="1">
              <x14:cfvo type="percent">
                <xm:f>0</xm:f>
              </x14:cfvo>
              <x14:cfvo type="formula">
                <xm:f>$H$51*1.2</xm:f>
              </x14:cfvo>
              <x14:cfvo type="formula">
                <xm:f>IF($AJ$51=TRUE,$AI$51*1.3,$H$51*1.3)</xm:f>
              </x14:cfvo>
              <x14:cfIcon iconSet="NoIcons" iconId="0"/>
              <x14:cfIcon iconSet="3Signs" iconId="1"/>
              <x14:cfIcon iconSet="3Symbols" iconId="0"/>
            </x14:iconSet>
          </x14:cfRule>
          <xm:sqref>F51</xm:sqref>
        </x14:conditionalFormatting>
        <x14:conditionalFormatting xmlns:xm="http://schemas.microsoft.com/office/excel/2006/main">
          <x14:cfRule type="iconSet" priority="966" id="{0D0AD535-EF3A-48DC-B543-134D5F71F995}">
            <x14:iconSet iconSet="3Symbols" custom="1">
              <x14:cfvo type="percent">
                <xm:f>0</xm:f>
              </x14:cfvo>
              <x14:cfvo type="formula">
                <xm:f>$H$48*1.2</xm:f>
              </x14:cfvo>
              <x14:cfvo type="formula">
                <xm:f>IF($AJ$49=TRUE,$AI$48*1.3,$H$48*1.3)</xm:f>
              </x14:cfvo>
              <x14:cfIcon iconSet="NoIcons" iconId="0"/>
              <x14:cfIcon iconSet="3Signs" iconId="1"/>
              <x14:cfIcon iconSet="3Symbols" iconId="0"/>
            </x14:iconSet>
          </x14:cfRule>
          <xm:sqref>F48</xm:sqref>
        </x14:conditionalFormatting>
        <x14:conditionalFormatting xmlns:xm="http://schemas.microsoft.com/office/excel/2006/main">
          <x14:cfRule type="iconSet" priority="967" id="{833C58C9-6148-4535-905B-008D68DD5802}">
            <x14:iconSet iconSet="3Symbols" custom="1">
              <x14:cfvo type="percent">
                <xm:f>0</xm:f>
              </x14:cfvo>
              <x14:cfvo type="formula">
                <xm:f>$H$53*1.2</xm:f>
              </x14:cfvo>
              <x14:cfvo type="formula">
                <xm:f>IF($AJ$53=TRUE,$AI$53*1.3,$H$53*1.3)</xm:f>
              </x14:cfvo>
              <x14:cfIcon iconSet="NoIcons" iconId="0"/>
              <x14:cfIcon iconSet="3Signs" iconId="1"/>
              <x14:cfIcon iconSet="3Symbols" iconId="0"/>
            </x14:iconSet>
          </x14:cfRule>
          <xm:sqref>F53</xm:sqref>
        </x14:conditionalFormatting>
        <x14:conditionalFormatting xmlns:xm="http://schemas.microsoft.com/office/excel/2006/main">
          <x14:cfRule type="iconSet" priority="968" id="{4A891035-356A-4E0B-B315-EAB5D9C74D28}">
            <x14:iconSet iconSet="3Symbols" custom="1">
              <x14:cfvo type="percent">
                <xm:f>0</xm:f>
              </x14:cfvo>
              <x14:cfvo type="formula">
                <xm:f>$H$52*1.2</xm:f>
              </x14:cfvo>
              <x14:cfvo type="formula">
                <xm:f>IF($AJ$53=TRUE,$AI$52*1.3,$H$52*1.3)</xm:f>
              </x14:cfvo>
              <x14:cfIcon iconSet="NoIcons" iconId="0"/>
              <x14:cfIcon iconSet="3Signs" iconId="1"/>
              <x14:cfIcon iconSet="3Symbols" iconId="0"/>
            </x14:iconSet>
          </x14:cfRule>
          <xm:sqref>F52</xm:sqref>
        </x14:conditionalFormatting>
        <x14:conditionalFormatting xmlns:xm="http://schemas.microsoft.com/office/excel/2006/main">
          <x14:cfRule type="iconSet" priority="969" id="{6739A23D-E6F0-47E1-BEDB-CA864A2F90D2}">
            <x14:iconSet iconSet="3Symbols" custom="1">
              <x14:cfvo type="percent">
                <xm:f>0</xm:f>
              </x14:cfvo>
              <x14:cfvo type="formula">
                <xm:f>$H$55*1.2</xm:f>
              </x14:cfvo>
              <x14:cfvo type="formula">
                <xm:f>IF($AJ$55=TRUE,$AI$55*1.3,$H$55*1.3)</xm:f>
              </x14:cfvo>
              <x14:cfIcon iconSet="NoIcons" iconId="0"/>
              <x14:cfIcon iconSet="3Signs" iconId="1"/>
              <x14:cfIcon iconSet="3Symbols" iconId="0"/>
            </x14:iconSet>
          </x14:cfRule>
          <xm:sqref>F55</xm:sqref>
        </x14:conditionalFormatting>
        <x14:conditionalFormatting xmlns:xm="http://schemas.microsoft.com/office/excel/2006/main">
          <x14:cfRule type="iconSet" priority="970" id="{C6240025-30C1-4E68-BA45-6885BE0EC3F8}">
            <x14:iconSet iconSet="3Symbols" custom="1">
              <x14:cfvo type="percent">
                <xm:f>0</xm:f>
              </x14:cfvo>
              <x14:cfvo type="formula">
                <xm:f>$H$54*1.2</xm:f>
              </x14:cfvo>
              <x14:cfvo type="formula">
                <xm:f>IF($AJ$55=TRUE,$AI$54*1.3,$H$54*1.3)</xm:f>
              </x14:cfvo>
              <x14:cfIcon iconSet="NoIcons" iconId="0"/>
              <x14:cfIcon iconSet="3Signs" iconId="1"/>
              <x14:cfIcon iconSet="3Symbols" iconId="0"/>
            </x14:iconSet>
          </x14:cfRule>
          <xm:sqref>F54</xm:sqref>
        </x14:conditionalFormatting>
        <x14:conditionalFormatting xmlns:xm="http://schemas.microsoft.com/office/excel/2006/main">
          <x14:cfRule type="iconSet" priority="971" id="{766665EA-C56F-44F7-859F-15EE86CE7350}">
            <x14:iconSet iconSet="3Symbols" custom="1">
              <x14:cfvo type="percent">
                <xm:f>0</xm:f>
              </x14:cfvo>
              <x14:cfvo type="formula">
                <xm:f>$H$57*1.2</xm:f>
              </x14:cfvo>
              <x14:cfvo type="formula">
                <xm:f>IF($AJ$57=TRUE,$AI$57*1.3,$H$57*1.3)</xm:f>
              </x14:cfvo>
              <x14:cfIcon iconSet="NoIcons" iconId="0"/>
              <x14:cfIcon iconSet="3Signs" iconId="1"/>
              <x14:cfIcon iconSet="3Symbols" iconId="0"/>
            </x14:iconSet>
          </x14:cfRule>
          <xm:sqref>F57</xm:sqref>
        </x14:conditionalFormatting>
        <x14:conditionalFormatting xmlns:xm="http://schemas.microsoft.com/office/excel/2006/main">
          <x14:cfRule type="iconSet" priority="972" id="{F67EF3FD-0F05-45D6-AA99-0C67C3EDF7AA}">
            <x14:iconSet iconSet="3Symbols" custom="1">
              <x14:cfvo type="percent">
                <xm:f>0</xm:f>
              </x14:cfvo>
              <x14:cfvo type="formula">
                <xm:f>$H$56*1.2</xm:f>
              </x14:cfvo>
              <x14:cfvo type="formula">
                <xm:f>IF($AJ$57=TRUE,$AI$56*1.3,$H$56*1.3)</xm:f>
              </x14:cfvo>
              <x14:cfIcon iconSet="NoIcons" iconId="0"/>
              <x14:cfIcon iconSet="3Signs" iconId="1"/>
              <x14:cfIcon iconSet="3Symbols" iconId="0"/>
            </x14:iconSet>
          </x14:cfRule>
          <xm:sqref>F56</xm:sqref>
        </x14:conditionalFormatting>
        <x14:conditionalFormatting xmlns:xm="http://schemas.microsoft.com/office/excel/2006/main">
          <x14:cfRule type="iconSet" priority="973" id="{6AD1A1DB-EC69-4E4E-9F46-A66C02F784EB}">
            <x14:iconSet iconSet="3Symbols" custom="1">
              <x14:cfvo type="percent">
                <xm:f>0</xm:f>
              </x14:cfvo>
              <x14:cfvo type="formula">
                <xm:f>$H$59*1.2</xm:f>
              </x14:cfvo>
              <x14:cfvo type="formula">
                <xm:f>IF($AJ$59=TRUE,$AI$59*1.3,$H$59*1.3)</xm:f>
              </x14:cfvo>
              <x14:cfIcon iconSet="NoIcons" iconId="0"/>
              <x14:cfIcon iconSet="3Signs" iconId="1"/>
              <x14:cfIcon iconSet="3Symbols" iconId="0"/>
            </x14:iconSet>
          </x14:cfRule>
          <xm:sqref>F59</xm:sqref>
        </x14:conditionalFormatting>
        <x14:conditionalFormatting xmlns:xm="http://schemas.microsoft.com/office/excel/2006/main">
          <x14:cfRule type="iconSet" priority="974" id="{539D975A-5ABA-4454-AB7F-56FE288C9C98}">
            <x14:iconSet iconSet="3Symbols" custom="1">
              <x14:cfvo type="percent">
                <xm:f>0</xm:f>
              </x14:cfvo>
              <x14:cfvo type="formula">
                <xm:f>$H$58*1.2</xm:f>
              </x14:cfvo>
              <x14:cfvo type="formula">
                <xm:f>IF($AJ$59=TRUE,$AI$58*1.3,$H$58*1.3)</xm:f>
              </x14:cfvo>
              <x14:cfIcon iconSet="NoIcons" iconId="0"/>
              <x14:cfIcon iconSet="3Signs" iconId="1"/>
              <x14:cfIcon iconSet="3Symbols" iconId="0"/>
            </x14:iconSet>
          </x14:cfRule>
          <xm:sqref>F58</xm:sqref>
        </x14:conditionalFormatting>
        <x14:conditionalFormatting xmlns:xm="http://schemas.microsoft.com/office/excel/2006/main">
          <x14:cfRule type="iconSet" priority="975" id="{0327918A-B856-4392-B51F-2F6F123B51B4}">
            <x14:iconSet iconSet="3Symbols" custom="1">
              <x14:cfvo type="percent">
                <xm:f>0</xm:f>
              </x14:cfvo>
              <x14:cfvo type="formula">
                <xm:f>$H$61*1.2</xm:f>
              </x14:cfvo>
              <x14:cfvo type="formula">
                <xm:f>IF($AJ$61=TRUE,$AI$61*1.3,$H$61*1.3)</xm:f>
              </x14:cfvo>
              <x14:cfIcon iconSet="NoIcons" iconId="0"/>
              <x14:cfIcon iconSet="3Signs" iconId="1"/>
              <x14:cfIcon iconSet="3Symbols" iconId="0"/>
            </x14:iconSet>
          </x14:cfRule>
          <xm:sqref>F61</xm:sqref>
        </x14:conditionalFormatting>
        <x14:conditionalFormatting xmlns:xm="http://schemas.microsoft.com/office/excel/2006/main">
          <x14:cfRule type="iconSet" priority="976" id="{7EB95AD5-5C8C-4598-B2D7-C3351664009C}">
            <x14:iconSet iconSet="3Symbols" custom="1">
              <x14:cfvo type="percent">
                <xm:f>0</xm:f>
              </x14:cfvo>
              <x14:cfvo type="formula">
                <xm:f>$H$60*1.2</xm:f>
              </x14:cfvo>
              <x14:cfvo type="formula">
                <xm:f>IF($AJ$61=TRUE,$AI$60*1.3,$H$60*1.3)</xm:f>
              </x14:cfvo>
              <x14:cfIcon iconSet="NoIcons" iconId="0"/>
              <x14:cfIcon iconSet="3Signs" iconId="1"/>
              <x14:cfIcon iconSet="3Symbols" iconId="0"/>
            </x14:iconSet>
          </x14:cfRule>
          <xm:sqref>F60</xm:sqref>
        </x14:conditionalFormatting>
        <x14:conditionalFormatting xmlns:xm="http://schemas.microsoft.com/office/excel/2006/main">
          <x14:cfRule type="iconSet" priority="977" id="{FC08A960-8648-4AD2-B50A-17DFAAAED361}">
            <x14:iconSet iconSet="3Symbols" custom="1">
              <x14:cfvo type="percent">
                <xm:f>0</xm:f>
              </x14:cfvo>
              <x14:cfvo type="formula">
                <xm:f>$H$63*1.2</xm:f>
              </x14:cfvo>
              <x14:cfvo type="formula">
                <xm:f>IF($AJ$63=TRUE,$AI$63*1.3,$H$63*1.3)</xm:f>
              </x14:cfvo>
              <x14:cfIcon iconSet="NoIcons" iconId="0"/>
              <x14:cfIcon iconSet="3Signs" iconId="1"/>
              <x14:cfIcon iconSet="3Symbols" iconId="0"/>
            </x14:iconSet>
          </x14:cfRule>
          <xm:sqref>F63</xm:sqref>
        </x14:conditionalFormatting>
        <x14:conditionalFormatting xmlns:xm="http://schemas.microsoft.com/office/excel/2006/main">
          <x14:cfRule type="iconSet" priority="978" id="{D94E654B-DBFB-4EA0-B930-A9C5D4E66F4A}">
            <x14:iconSet iconSet="3Symbols" custom="1">
              <x14:cfvo type="percent">
                <xm:f>0</xm:f>
              </x14:cfvo>
              <x14:cfvo type="formula">
                <xm:f>$H$62*1.2</xm:f>
              </x14:cfvo>
              <x14:cfvo type="formula">
                <xm:f>IF($AJ$63=TRUE,$AI$62*1.3,$H$62*1.3)</xm:f>
              </x14:cfvo>
              <x14:cfIcon iconSet="NoIcons" iconId="0"/>
              <x14:cfIcon iconSet="3Signs" iconId="1"/>
              <x14:cfIcon iconSet="3Symbols" iconId="0"/>
            </x14:iconSet>
          </x14:cfRule>
          <xm:sqref>F62</xm:sqref>
        </x14:conditionalFormatting>
        <x14:conditionalFormatting xmlns:xm="http://schemas.microsoft.com/office/excel/2006/main">
          <x14:cfRule type="iconSet" priority="979" id="{774259DA-56C3-4EB3-B503-F3628E60DFBE}">
            <x14:iconSet iconSet="3Symbols" custom="1">
              <x14:cfvo type="percent">
                <xm:f>0</xm:f>
              </x14:cfvo>
              <x14:cfvo type="formula">
                <xm:f>$H$65*1.2</xm:f>
              </x14:cfvo>
              <x14:cfvo type="formula">
                <xm:f>IF($AJ$65=TRUE,$AI$65*1.3,$H$65*1.3)</xm:f>
              </x14:cfvo>
              <x14:cfIcon iconSet="NoIcons" iconId="0"/>
              <x14:cfIcon iconSet="3Signs" iconId="1"/>
              <x14:cfIcon iconSet="3Symbols" iconId="0"/>
            </x14:iconSet>
          </x14:cfRule>
          <xm:sqref>F65</xm:sqref>
        </x14:conditionalFormatting>
        <x14:conditionalFormatting xmlns:xm="http://schemas.microsoft.com/office/excel/2006/main">
          <x14:cfRule type="iconSet" priority="980" id="{18EEDB96-6EC8-4A57-8885-00AD07133EC1}">
            <x14:iconSet iconSet="3Symbols" custom="1">
              <x14:cfvo type="percent">
                <xm:f>0</xm:f>
              </x14:cfvo>
              <x14:cfvo type="formula">
                <xm:f>$H$64*1.2</xm:f>
              </x14:cfvo>
              <x14:cfvo type="formula">
                <xm:f>IF($AJ$65=TRUE,$AI$64*1.3,$H$64*1.3)</xm:f>
              </x14:cfvo>
              <x14:cfIcon iconSet="NoIcons" iconId="0"/>
              <x14:cfIcon iconSet="3Signs" iconId="1"/>
              <x14:cfIcon iconSet="3Symbols" iconId="0"/>
            </x14:iconSet>
          </x14:cfRule>
          <xm:sqref>F64</xm:sqref>
        </x14:conditionalFormatting>
        <x14:conditionalFormatting xmlns:xm="http://schemas.microsoft.com/office/excel/2006/main">
          <x14:cfRule type="iconSet" priority="981" id="{61A96A85-1CD8-421A-91CF-E6ACE32E3733}">
            <x14:iconSet iconSet="3Symbols" custom="1">
              <x14:cfvo type="percent">
                <xm:f>0</xm:f>
              </x14:cfvo>
              <x14:cfvo type="formula">
                <xm:f>$H$67*1.2</xm:f>
              </x14:cfvo>
              <x14:cfvo type="formula">
                <xm:f>IF($AJ$67=TRUE,$AI$67*1.3,$H$67*1.3)</xm:f>
              </x14:cfvo>
              <x14:cfIcon iconSet="NoIcons" iconId="0"/>
              <x14:cfIcon iconSet="3Signs" iconId="1"/>
              <x14:cfIcon iconSet="3Symbols" iconId="0"/>
            </x14:iconSet>
          </x14:cfRule>
          <xm:sqref>F67</xm:sqref>
        </x14:conditionalFormatting>
        <x14:conditionalFormatting xmlns:xm="http://schemas.microsoft.com/office/excel/2006/main">
          <x14:cfRule type="iconSet" priority="982" id="{0E21CE52-6A18-40D2-905A-DDDA27E05CAA}">
            <x14:iconSet iconSet="3Symbols" custom="1">
              <x14:cfvo type="percent">
                <xm:f>0</xm:f>
              </x14:cfvo>
              <x14:cfvo type="formula">
                <xm:f>$H$66*1.2</xm:f>
              </x14:cfvo>
              <x14:cfvo type="formula">
                <xm:f>IF($AJ$67=TRUE,$AI$66*1.3,$H$66*1.3)</xm:f>
              </x14:cfvo>
              <x14:cfIcon iconSet="NoIcons" iconId="0"/>
              <x14:cfIcon iconSet="3Signs" iconId="1"/>
              <x14:cfIcon iconSet="3Symbols" iconId="0"/>
            </x14:iconSet>
          </x14:cfRule>
          <xm:sqref>F66</xm:sqref>
        </x14:conditionalFormatting>
        <x14:conditionalFormatting xmlns:xm="http://schemas.microsoft.com/office/excel/2006/main">
          <x14:cfRule type="iconSet" priority="983" id="{EA782FE0-7CF5-4E53-93C5-10C5C764BD8B}">
            <x14:iconSet iconSet="3Symbols" custom="1">
              <x14:cfvo type="percent">
                <xm:f>0</xm:f>
              </x14:cfvo>
              <x14:cfvo type="formula">
                <xm:f>$H$69*1.2</xm:f>
              </x14:cfvo>
              <x14:cfvo type="formula">
                <xm:f>IF($AJ$69=TRUE,$AI$69*1.3,$H$69*1.3)</xm:f>
              </x14:cfvo>
              <x14:cfIcon iconSet="NoIcons" iconId="0"/>
              <x14:cfIcon iconSet="3Signs" iconId="1"/>
              <x14:cfIcon iconSet="3Symbols" iconId="0"/>
            </x14:iconSet>
          </x14:cfRule>
          <xm:sqref>F69</xm:sqref>
        </x14:conditionalFormatting>
        <x14:conditionalFormatting xmlns:xm="http://schemas.microsoft.com/office/excel/2006/main">
          <x14:cfRule type="iconSet" priority="984" id="{E1AEC503-2100-425B-85ED-7BDB60C5999B}">
            <x14:iconSet iconSet="3Symbols" custom="1">
              <x14:cfvo type="percent">
                <xm:f>0</xm:f>
              </x14:cfvo>
              <x14:cfvo type="formula">
                <xm:f>$H$68*1.2</xm:f>
              </x14:cfvo>
              <x14:cfvo type="formula">
                <xm:f>IF($AJ$69=TRUE,$AI$68*1.3,$H$68*1.3)</xm:f>
              </x14:cfvo>
              <x14:cfIcon iconSet="NoIcons" iconId="0"/>
              <x14:cfIcon iconSet="3Signs" iconId="1"/>
              <x14:cfIcon iconSet="3Symbols" iconId="0"/>
            </x14:iconSet>
          </x14:cfRule>
          <xm:sqref>F68</xm:sqref>
        </x14:conditionalFormatting>
        <x14:conditionalFormatting xmlns:xm="http://schemas.microsoft.com/office/excel/2006/main">
          <x14:cfRule type="iconSet" priority="985" id="{689D1FFE-C1E2-4F0A-B245-FD11A163B75F}">
            <x14:iconSet iconSet="3Symbols" custom="1">
              <x14:cfvo type="percent">
                <xm:f>0</xm:f>
              </x14:cfvo>
              <x14:cfvo type="formula">
                <xm:f>$H$71*1.2</xm:f>
              </x14:cfvo>
              <x14:cfvo type="formula">
                <xm:f>IF($AJ$71=TRUE,$AI$71*1.3,$H$71*1.3)</xm:f>
              </x14:cfvo>
              <x14:cfIcon iconSet="NoIcons" iconId="0"/>
              <x14:cfIcon iconSet="3Signs" iconId="1"/>
              <x14:cfIcon iconSet="3Symbols" iconId="0"/>
            </x14:iconSet>
          </x14:cfRule>
          <xm:sqref>F71</xm:sqref>
        </x14:conditionalFormatting>
        <x14:conditionalFormatting xmlns:xm="http://schemas.microsoft.com/office/excel/2006/main">
          <x14:cfRule type="iconSet" priority="986" id="{F1072628-B378-491C-91BC-0368D7B762AC}">
            <x14:iconSet iconSet="3Symbols" custom="1">
              <x14:cfvo type="percent">
                <xm:f>0</xm:f>
              </x14:cfvo>
              <x14:cfvo type="formula">
                <xm:f>$H$70*1.2</xm:f>
              </x14:cfvo>
              <x14:cfvo type="formula">
                <xm:f>IF($AJ$71=TRUE,$AI$70*1.3,$H$70*1.3)</xm:f>
              </x14:cfvo>
              <x14:cfIcon iconSet="NoIcons" iconId="0"/>
              <x14:cfIcon iconSet="3Signs" iconId="1"/>
              <x14:cfIcon iconSet="3Symbols" iconId="0"/>
            </x14:iconSet>
          </x14:cfRule>
          <xm:sqref>F70</xm:sqref>
        </x14:conditionalFormatting>
        <x14:conditionalFormatting xmlns:xm="http://schemas.microsoft.com/office/excel/2006/main">
          <x14:cfRule type="iconSet" priority="987" id="{5DAF3867-F563-4BF3-9886-4D7A0FAABE5F}">
            <x14:iconSet iconSet="3Symbols" custom="1">
              <x14:cfvo type="percent">
                <xm:f>0</xm:f>
              </x14:cfvo>
              <x14:cfvo type="formula">
                <xm:f>$H$73*1.2</xm:f>
              </x14:cfvo>
              <x14:cfvo type="formula">
                <xm:f>IF($AJ$73=TRUE,$AI$73*1.3,$H$73*1.3)</xm:f>
              </x14:cfvo>
              <x14:cfIcon iconSet="NoIcons" iconId="0"/>
              <x14:cfIcon iconSet="3Signs" iconId="1"/>
              <x14:cfIcon iconSet="3Symbols" iconId="0"/>
            </x14:iconSet>
          </x14:cfRule>
          <xm:sqref>F73</xm:sqref>
        </x14:conditionalFormatting>
        <x14:conditionalFormatting xmlns:xm="http://schemas.microsoft.com/office/excel/2006/main">
          <x14:cfRule type="iconSet" priority="988" id="{F8DBDE0E-1B0B-43D6-9547-5C3B18FD7A91}">
            <x14:iconSet iconSet="3Symbols" custom="1">
              <x14:cfvo type="percent">
                <xm:f>0</xm:f>
              </x14:cfvo>
              <x14:cfvo type="formula">
                <xm:f>$H$72*1.2</xm:f>
              </x14:cfvo>
              <x14:cfvo type="formula">
                <xm:f>IF($AJ$73=TRUE,$AI$72*1.3,$H$72*1.3)</xm:f>
              </x14:cfvo>
              <x14:cfIcon iconSet="NoIcons" iconId="0"/>
              <x14:cfIcon iconSet="3Signs" iconId="1"/>
              <x14:cfIcon iconSet="3Symbols" iconId="0"/>
            </x14:iconSet>
          </x14:cfRule>
          <xm:sqref>F72</xm:sqref>
        </x14:conditionalFormatting>
        <x14:conditionalFormatting xmlns:xm="http://schemas.microsoft.com/office/excel/2006/main">
          <x14:cfRule type="iconSet" priority="989" id="{2EDB725E-062C-4BB7-90F4-151456537FF7}">
            <x14:iconSet iconSet="3Symbols" custom="1">
              <x14:cfvo type="percent">
                <xm:f>0</xm:f>
              </x14:cfvo>
              <x14:cfvo type="formula">
                <xm:f>$H$74*1.2</xm:f>
              </x14:cfvo>
              <x14:cfvo type="formula">
                <xm:f>IF($AJ$75=TRUE,$AI$74*1.3,$H$74*1.3)</xm:f>
              </x14:cfvo>
              <x14:cfIcon iconSet="NoIcons" iconId="0"/>
              <x14:cfIcon iconSet="3Signs" iconId="1"/>
              <x14:cfIcon iconSet="3Symbols" iconId="0"/>
            </x14:iconSet>
          </x14:cfRule>
          <xm:sqref>F74</xm:sqref>
        </x14:conditionalFormatting>
        <x14:conditionalFormatting xmlns:xm="http://schemas.microsoft.com/office/excel/2006/main">
          <x14:cfRule type="iconSet" priority="990" id="{AA9D85B8-8A8B-4500-B5AA-A09B075712E7}">
            <x14:iconSet iconSet="3Symbols" custom="1">
              <x14:cfvo type="percent">
                <xm:f>0</xm:f>
              </x14:cfvo>
              <x14:cfvo type="formula">
                <xm:f>$H$77*1.2</xm:f>
              </x14:cfvo>
              <x14:cfvo type="formula">
                <xm:f>IF($AJ$77=TRUE,$AI$77*1.3,$H$77*1.3)</xm:f>
              </x14:cfvo>
              <x14:cfIcon iconSet="NoIcons" iconId="0"/>
              <x14:cfIcon iconSet="3Signs" iconId="1"/>
              <x14:cfIcon iconSet="3Symbols" iconId="0"/>
            </x14:iconSet>
          </x14:cfRule>
          <xm:sqref>F77</xm:sqref>
        </x14:conditionalFormatting>
        <x14:conditionalFormatting xmlns:xm="http://schemas.microsoft.com/office/excel/2006/main">
          <x14:cfRule type="iconSet" priority="991" id="{DC6AF864-668E-4E65-8F8F-B8F2A067F1A4}">
            <x14:iconSet iconSet="3Symbols" custom="1">
              <x14:cfvo type="percent">
                <xm:f>0</xm:f>
              </x14:cfvo>
              <x14:cfvo type="formula">
                <xm:f>$H$76*1.2</xm:f>
              </x14:cfvo>
              <x14:cfvo type="formula">
                <xm:f>IF($AJ$77=TRUE,$AI$76*1.3,$H$76*1.3)</xm:f>
              </x14:cfvo>
              <x14:cfIcon iconSet="NoIcons" iconId="0"/>
              <x14:cfIcon iconSet="3Signs" iconId="1"/>
              <x14:cfIcon iconSet="3Symbols" iconId="0"/>
            </x14:iconSet>
          </x14:cfRule>
          <xm:sqref>F76</xm:sqref>
        </x14:conditionalFormatting>
        <x14:conditionalFormatting xmlns:xm="http://schemas.microsoft.com/office/excel/2006/main">
          <x14:cfRule type="iconSet" priority="992" id="{7A8B9B77-BD7A-4455-8452-E5E9AAF96F03}">
            <x14:iconSet iconSet="3Symbols" custom="1">
              <x14:cfvo type="percent">
                <xm:f>0</xm:f>
              </x14:cfvo>
              <x14:cfvo type="formula">
                <xm:f>$H$79*1.2</xm:f>
              </x14:cfvo>
              <x14:cfvo type="formula">
                <xm:f>IF($AJ$79=TRUE,$AI$79*1.3,$H$79*1.3)</xm:f>
              </x14:cfvo>
              <x14:cfIcon iconSet="NoIcons" iconId="0"/>
              <x14:cfIcon iconSet="3Signs" iconId="1"/>
              <x14:cfIcon iconSet="3Symbols" iconId="0"/>
            </x14:iconSet>
          </x14:cfRule>
          <xm:sqref>F79</xm:sqref>
        </x14:conditionalFormatting>
        <x14:conditionalFormatting xmlns:xm="http://schemas.microsoft.com/office/excel/2006/main">
          <x14:cfRule type="iconSet" priority="993" id="{07E21E1C-ACBA-4016-9C38-F63260FA8C6F}">
            <x14:iconSet iconSet="3Symbols" custom="1">
              <x14:cfvo type="percent">
                <xm:f>0</xm:f>
              </x14:cfvo>
              <x14:cfvo type="formula">
                <xm:f>$H$78*1.2</xm:f>
              </x14:cfvo>
              <x14:cfvo type="formula">
                <xm:f>IF($AJ$79=TRUE,$AI$78*1.3,$H$78*1.3)</xm:f>
              </x14:cfvo>
              <x14:cfIcon iconSet="NoIcons" iconId="0"/>
              <x14:cfIcon iconSet="3Signs" iconId="1"/>
              <x14:cfIcon iconSet="3Symbols" iconId="0"/>
            </x14:iconSet>
          </x14:cfRule>
          <xm:sqref>F78</xm:sqref>
        </x14:conditionalFormatting>
        <x14:conditionalFormatting xmlns:xm="http://schemas.microsoft.com/office/excel/2006/main">
          <x14:cfRule type="iconSet" priority="994" id="{A0F19DE2-FC13-4CB5-8000-CAD474C92C06}">
            <x14:iconSet iconSet="3Symbols" custom="1">
              <x14:cfvo type="percent">
                <xm:f>0</xm:f>
              </x14:cfvo>
              <x14:cfvo type="formula">
                <xm:f>$H$75*1.2</xm:f>
              </x14:cfvo>
              <x14:cfvo type="formula">
                <xm:f>IF($AJ$75=TRUE,$AI$75*1.3,$H$75*1.3)</xm:f>
              </x14:cfvo>
              <x14:cfIcon iconSet="NoIcons" iconId="0"/>
              <x14:cfIcon iconSet="3Signs" iconId="1"/>
              <x14:cfIcon iconSet="3Symbols" iconId="0"/>
            </x14:iconSet>
          </x14:cfRule>
          <xm:sqref>F75</xm:sqref>
        </x14:conditionalFormatting>
        <x14:conditionalFormatting xmlns:xm="http://schemas.microsoft.com/office/excel/2006/main">
          <x14:cfRule type="iconSet" priority="995" id="{4CA40B51-C57F-4B01-BB53-FDF474966A4F}">
            <x14:iconSet iconSet="3Symbols" custom="1">
              <x14:cfvo type="percent">
                <xm:f>0</xm:f>
              </x14:cfvo>
              <x14:cfvo type="formula">
                <xm:f>$H$81*1.2</xm:f>
              </x14:cfvo>
              <x14:cfvo type="formula">
                <xm:f>IF($AJ$81=TRUE,$AI$81*1.3,$H$81*1.3)</xm:f>
              </x14:cfvo>
              <x14:cfIcon iconSet="NoIcons" iconId="0"/>
              <x14:cfIcon iconSet="3Signs" iconId="1"/>
              <x14:cfIcon iconSet="3Symbols" iconId="0"/>
            </x14:iconSet>
          </x14:cfRule>
          <xm:sqref>F81</xm:sqref>
        </x14:conditionalFormatting>
        <x14:conditionalFormatting xmlns:xm="http://schemas.microsoft.com/office/excel/2006/main">
          <x14:cfRule type="iconSet" priority="996" id="{052CBB4B-7AC4-44CD-BBB6-BA7895B254B9}">
            <x14:iconSet iconSet="3Symbols" custom="1">
              <x14:cfvo type="percent">
                <xm:f>0</xm:f>
              </x14:cfvo>
              <x14:cfvo type="formula">
                <xm:f>$H$80*1.2</xm:f>
              </x14:cfvo>
              <x14:cfvo type="formula">
                <xm:f>IF($AJ$81=TRUE,$AI$80*1.3,$H$80*1.3)</xm:f>
              </x14:cfvo>
              <x14:cfIcon iconSet="NoIcons" iconId="0"/>
              <x14:cfIcon iconSet="3Signs" iconId="1"/>
              <x14:cfIcon iconSet="3Symbols" iconId="0"/>
            </x14:iconSet>
          </x14:cfRule>
          <xm:sqref>F80</xm:sqref>
        </x14:conditionalFormatting>
        <x14:conditionalFormatting xmlns:xm="http://schemas.microsoft.com/office/excel/2006/main">
          <x14:cfRule type="iconSet" priority="997" id="{D117AA9D-BC97-45DF-A5BC-5CCCE20FA57D}">
            <x14:iconSet iconSet="3Symbols" custom="1">
              <x14:cfvo type="percent">
                <xm:f>0</xm:f>
              </x14:cfvo>
              <x14:cfvo type="formula">
                <xm:f>$H$89*1.2</xm:f>
              </x14:cfvo>
              <x14:cfvo type="formula">
                <xm:f>IF($AJ$89=TRUE,$AI$89*1.3,$H$89*1.3)</xm:f>
              </x14:cfvo>
              <x14:cfIcon iconSet="NoIcons" iconId="0"/>
              <x14:cfIcon iconSet="3Signs" iconId="1"/>
              <x14:cfIcon iconSet="3Symbols" iconId="0"/>
            </x14:iconSet>
          </x14:cfRule>
          <xm:sqref>F89</xm:sqref>
        </x14:conditionalFormatting>
        <x14:conditionalFormatting xmlns:xm="http://schemas.microsoft.com/office/excel/2006/main">
          <x14:cfRule type="iconSet" priority="998" id="{B51241E9-E6FE-4FF7-8545-96B5691091EB}">
            <x14:iconSet iconSet="3Symbols" custom="1">
              <x14:cfvo type="percent">
                <xm:f>0</xm:f>
              </x14:cfvo>
              <x14:cfvo type="formula">
                <xm:f>$H$88*1.2</xm:f>
              </x14:cfvo>
              <x14:cfvo type="formula">
                <xm:f>IF($AJ$89=TRUE,$AI$88*1.3,$H$88*1.3)</xm:f>
              </x14:cfvo>
              <x14:cfIcon iconSet="NoIcons" iconId="0"/>
              <x14:cfIcon iconSet="3Signs" iconId="1"/>
              <x14:cfIcon iconSet="3Symbols" iconId="0"/>
            </x14:iconSet>
          </x14:cfRule>
          <xm:sqref>F88</xm:sqref>
        </x14:conditionalFormatting>
        <x14:conditionalFormatting xmlns:xm="http://schemas.microsoft.com/office/excel/2006/main">
          <x14:cfRule type="iconSet" priority="999" id="{6D7EC3B4-FFBC-4D28-BCF1-95B876F01347}">
            <x14:iconSet iconSet="3Symbols" custom="1">
              <x14:cfvo type="percent">
                <xm:f>0</xm:f>
              </x14:cfvo>
              <x14:cfvo type="formula">
                <xm:f>$H$83*1.2</xm:f>
              </x14:cfvo>
              <x14:cfvo type="formula">
                <xm:f>IF($AJ$83=TRUE,$AI$83*1.3,$H$83*1.3)</xm:f>
              </x14:cfvo>
              <x14:cfIcon iconSet="NoIcons" iconId="0"/>
              <x14:cfIcon iconSet="3Signs" iconId="1"/>
              <x14:cfIcon iconSet="3Symbols" iconId="0"/>
            </x14:iconSet>
          </x14:cfRule>
          <xm:sqref>F83</xm:sqref>
        </x14:conditionalFormatting>
        <x14:conditionalFormatting xmlns:xm="http://schemas.microsoft.com/office/excel/2006/main">
          <x14:cfRule type="iconSet" priority="1000" id="{96BE0026-669E-4A7F-AAB5-E4EE06093D46}">
            <x14:iconSet iconSet="3Symbols" custom="1">
              <x14:cfvo type="percent">
                <xm:f>0</xm:f>
              </x14:cfvo>
              <x14:cfvo type="formula">
                <xm:f>$H$82*1.2</xm:f>
              </x14:cfvo>
              <x14:cfvo type="formula">
                <xm:f>IF($AJ$83=TRUE,$AI$82*1.3,$H$82*1.3)</xm:f>
              </x14:cfvo>
              <x14:cfIcon iconSet="NoIcons" iconId="0"/>
              <x14:cfIcon iconSet="3Signs" iconId="1"/>
              <x14:cfIcon iconSet="3Symbols" iconId="0"/>
            </x14:iconSet>
          </x14:cfRule>
          <xm:sqref>F82</xm:sqref>
        </x14:conditionalFormatting>
        <x14:conditionalFormatting xmlns:xm="http://schemas.microsoft.com/office/excel/2006/main">
          <x14:cfRule type="iconSet" priority="1001" id="{D3D9F6E8-88FE-4A95-B095-BC49203A9476}">
            <x14:iconSet iconSet="3Symbols" custom="1">
              <x14:cfvo type="percent">
                <xm:f>0</xm:f>
              </x14:cfvo>
              <x14:cfvo type="formula">
                <xm:f>$H$85*1.2</xm:f>
              </x14:cfvo>
              <x14:cfvo type="formula">
                <xm:f>IF($AJ$85=TRUE,$AI$85*1.3,$H$85*1.3)</xm:f>
              </x14:cfvo>
              <x14:cfIcon iconSet="NoIcons" iconId="0"/>
              <x14:cfIcon iconSet="3Signs" iconId="1"/>
              <x14:cfIcon iconSet="3Symbols" iconId="0"/>
            </x14:iconSet>
          </x14:cfRule>
          <xm:sqref>F85</xm:sqref>
        </x14:conditionalFormatting>
        <x14:conditionalFormatting xmlns:xm="http://schemas.microsoft.com/office/excel/2006/main">
          <x14:cfRule type="iconSet" priority="1002" id="{DFB190AE-9014-48BE-BB0E-B1765ADBF4E5}">
            <x14:iconSet iconSet="3Symbols" custom="1">
              <x14:cfvo type="percent">
                <xm:f>0</xm:f>
              </x14:cfvo>
              <x14:cfvo type="formula">
                <xm:f>$H$84*1.2</xm:f>
              </x14:cfvo>
              <x14:cfvo type="formula">
                <xm:f>IF($AJ$85=TRUE,$AI$84*1.3,$H$84*1.3)</xm:f>
              </x14:cfvo>
              <x14:cfIcon iconSet="NoIcons" iconId="0"/>
              <x14:cfIcon iconSet="3Signs" iconId="1"/>
              <x14:cfIcon iconSet="3Symbols" iconId="0"/>
            </x14:iconSet>
          </x14:cfRule>
          <xm:sqref>F84</xm:sqref>
        </x14:conditionalFormatting>
        <x14:conditionalFormatting xmlns:xm="http://schemas.microsoft.com/office/excel/2006/main">
          <x14:cfRule type="iconSet" priority="1003" id="{6B860AD1-62ED-494B-A8B5-3324B1D64E3A}">
            <x14:iconSet iconSet="3Symbols" custom="1">
              <x14:cfvo type="percent">
                <xm:f>0</xm:f>
              </x14:cfvo>
              <x14:cfvo type="formula">
                <xm:f>$H$87*1.2</xm:f>
              </x14:cfvo>
              <x14:cfvo type="formula">
                <xm:f>IF($AJ$87=TRUE,$AI$87*1.3,$H$87*1.3)</xm:f>
              </x14:cfvo>
              <x14:cfIcon iconSet="NoIcons" iconId="0"/>
              <x14:cfIcon iconSet="3Signs" iconId="1"/>
              <x14:cfIcon iconSet="3Symbols" iconId="0"/>
            </x14:iconSet>
          </x14:cfRule>
          <xm:sqref>F87</xm:sqref>
        </x14:conditionalFormatting>
        <x14:conditionalFormatting xmlns:xm="http://schemas.microsoft.com/office/excel/2006/main">
          <x14:cfRule type="iconSet" priority="1004" id="{D4FC2BD8-9B00-4E31-BEB2-6DB3B62F8C10}">
            <x14:iconSet iconSet="3Symbols" custom="1">
              <x14:cfvo type="percent">
                <xm:f>0</xm:f>
              </x14:cfvo>
              <x14:cfvo type="formula">
                <xm:f>$H$86*1.2</xm:f>
              </x14:cfvo>
              <x14:cfvo type="formula">
                <xm:f>IF($AJ$87=TRUE,$AI$86*1.3,$H$86*1.3)</xm:f>
              </x14:cfvo>
              <x14:cfIcon iconSet="NoIcons" iconId="0"/>
              <x14:cfIcon iconSet="3Signs" iconId="1"/>
              <x14:cfIcon iconSet="3Symbols" iconId="0"/>
            </x14:iconSet>
          </x14:cfRule>
          <xm:sqref>F86</xm:sqref>
        </x14:conditionalFormatting>
        <x14:conditionalFormatting xmlns:xm="http://schemas.microsoft.com/office/excel/2006/main">
          <x14:cfRule type="iconSet" priority="1005" id="{2A5617E8-8212-4861-ACC0-D0706D187103}">
            <x14:iconSet iconSet="3Symbols" custom="1">
              <x14:cfvo type="percent">
                <xm:f>0</xm:f>
              </x14:cfvo>
              <x14:cfvo type="formula">
                <xm:f>$H$127*1.2</xm:f>
              </x14:cfvo>
              <x14:cfvo type="formula">
                <xm:f>IF($AJ$127=TRUE,$AI$127*1.3,$H$127*1.3)</xm:f>
              </x14:cfvo>
              <x14:cfIcon iconSet="NoIcons" iconId="0"/>
              <x14:cfIcon iconSet="3Signs" iconId="1"/>
              <x14:cfIcon iconSet="3Symbols" iconId="0"/>
            </x14:iconSet>
          </x14:cfRule>
          <xm:sqref>F127</xm:sqref>
        </x14:conditionalFormatting>
        <x14:conditionalFormatting xmlns:xm="http://schemas.microsoft.com/office/excel/2006/main">
          <x14:cfRule type="iconSet" priority="1006" id="{7C65591D-2253-4823-AD9F-E43263FF34A5}">
            <x14:iconSet iconSet="3Symbols" custom="1">
              <x14:cfvo type="percent">
                <xm:f>0</xm:f>
              </x14:cfvo>
              <x14:cfvo type="formula">
                <xm:f>$H$91*1.2</xm:f>
              </x14:cfvo>
              <x14:cfvo type="formula">
                <xm:f>IF($AJ$91=TRUE,$AI$91*1.3,$H$91*1.3)</xm:f>
              </x14:cfvo>
              <x14:cfIcon iconSet="NoIcons" iconId="0"/>
              <x14:cfIcon iconSet="3Signs" iconId="1"/>
              <x14:cfIcon iconSet="3Symbols" iconId="0"/>
            </x14:iconSet>
          </x14:cfRule>
          <xm:sqref>F91</xm:sqref>
        </x14:conditionalFormatting>
        <x14:conditionalFormatting xmlns:xm="http://schemas.microsoft.com/office/excel/2006/main">
          <x14:cfRule type="iconSet" priority="1007" id="{E71975EC-08B1-485D-9CC8-0F379784FE84}">
            <x14:iconSet iconSet="3Symbols" custom="1">
              <x14:cfvo type="percent">
                <xm:f>0</xm:f>
              </x14:cfvo>
              <x14:cfvo type="formula">
                <xm:f>$H$90*1.2</xm:f>
              </x14:cfvo>
              <x14:cfvo type="formula">
                <xm:f>IF($AJ$91=TRUE,$AI$90*1.3,$H$90*1.3)</xm:f>
              </x14:cfvo>
              <x14:cfIcon iconSet="NoIcons" iconId="0"/>
              <x14:cfIcon iconSet="3Signs" iconId="1"/>
              <x14:cfIcon iconSet="3Symbols" iconId="0"/>
            </x14:iconSet>
          </x14:cfRule>
          <xm:sqref>F90</xm:sqref>
        </x14:conditionalFormatting>
        <x14:conditionalFormatting xmlns:xm="http://schemas.microsoft.com/office/excel/2006/main">
          <x14:cfRule type="iconSet" priority="1008" id="{043BF85C-0294-49E6-9AD7-7C2CF49FA9A3}">
            <x14:iconSet iconSet="3Symbols" custom="1">
              <x14:cfvo type="percent">
                <xm:f>0</xm:f>
              </x14:cfvo>
              <x14:cfvo type="formula">
                <xm:f>$H$93*1.2</xm:f>
              </x14:cfvo>
              <x14:cfvo type="formula">
                <xm:f>IF($AJ$93=TRUE,$AI$93*1.3,$H$93*1.3)</xm:f>
              </x14:cfvo>
              <x14:cfIcon iconSet="NoIcons" iconId="0"/>
              <x14:cfIcon iconSet="3Signs" iconId="1"/>
              <x14:cfIcon iconSet="3Symbols" iconId="0"/>
            </x14:iconSet>
          </x14:cfRule>
          <xm:sqref>F93</xm:sqref>
        </x14:conditionalFormatting>
        <x14:conditionalFormatting xmlns:xm="http://schemas.microsoft.com/office/excel/2006/main">
          <x14:cfRule type="iconSet" priority="1009" id="{70962988-1A43-41BC-813C-F068F3391F3D}">
            <x14:iconSet iconSet="3Symbols" custom="1">
              <x14:cfvo type="percent">
                <xm:f>0</xm:f>
              </x14:cfvo>
              <x14:cfvo type="formula">
                <xm:f>$H$92*1.2</xm:f>
              </x14:cfvo>
              <x14:cfvo type="formula">
                <xm:f>IF($AJ$93=TRUE,$AI$92*1.3,$H$92*1.3)</xm:f>
              </x14:cfvo>
              <x14:cfIcon iconSet="NoIcons" iconId="0"/>
              <x14:cfIcon iconSet="3Signs" iconId="1"/>
              <x14:cfIcon iconSet="3Symbols" iconId="0"/>
            </x14:iconSet>
          </x14:cfRule>
          <xm:sqref>F92</xm:sqref>
        </x14:conditionalFormatting>
        <x14:conditionalFormatting xmlns:xm="http://schemas.microsoft.com/office/excel/2006/main">
          <x14:cfRule type="iconSet" priority="1010" id="{89DBC2F3-0E4E-47E9-9B67-175A83E9F8FC}">
            <x14:iconSet iconSet="3Symbols" custom="1">
              <x14:cfvo type="percent">
                <xm:f>0</xm:f>
              </x14:cfvo>
              <x14:cfvo type="formula">
                <xm:f>$H$95*1.2</xm:f>
              </x14:cfvo>
              <x14:cfvo type="formula">
                <xm:f>IF($AJ$95=TRUE,$AI$95*1.3,$H$95*1.3)</xm:f>
              </x14:cfvo>
              <x14:cfIcon iconSet="NoIcons" iconId="0"/>
              <x14:cfIcon iconSet="3Signs" iconId="1"/>
              <x14:cfIcon iconSet="3Symbols" iconId="0"/>
            </x14:iconSet>
          </x14:cfRule>
          <xm:sqref>F95</xm:sqref>
        </x14:conditionalFormatting>
        <x14:conditionalFormatting xmlns:xm="http://schemas.microsoft.com/office/excel/2006/main">
          <x14:cfRule type="iconSet" priority="1011" id="{4DD28F79-10EA-4F45-A258-4C70621B37D9}">
            <x14:iconSet iconSet="3Symbols" custom="1">
              <x14:cfvo type="percent">
                <xm:f>0</xm:f>
              </x14:cfvo>
              <x14:cfvo type="formula">
                <xm:f>$H$94*1.2</xm:f>
              </x14:cfvo>
              <x14:cfvo type="formula">
                <xm:f>IF($AJ$95=TRUE,$AI$94*1.3,$H$94*1.3)</xm:f>
              </x14:cfvo>
              <x14:cfIcon iconSet="NoIcons" iconId="0"/>
              <x14:cfIcon iconSet="3Signs" iconId="1"/>
              <x14:cfIcon iconSet="3Symbols" iconId="0"/>
            </x14:iconSet>
          </x14:cfRule>
          <xm:sqref>F94</xm:sqref>
        </x14:conditionalFormatting>
        <x14:conditionalFormatting xmlns:xm="http://schemas.microsoft.com/office/excel/2006/main">
          <x14:cfRule type="iconSet" priority="1012" id="{AE2783D0-D9CB-4BA6-A053-51B884EA32FB}">
            <x14:iconSet iconSet="3Symbols" custom="1">
              <x14:cfvo type="percent">
                <xm:f>0</xm:f>
              </x14:cfvo>
              <x14:cfvo type="formula">
                <xm:f>$H$97*1.2</xm:f>
              </x14:cfvo>
              <x14:cfvo type="formula">
                <xm:f>IF($AJ$97=TRUE,$AI$97*1.3,$H$97*1.3)</xm:f>
              </x14:cfvo>
              <x14:cfIcon iconSet="NoIcons" iconId="0"/>
              <x14:cfIcon iconSet="3Signs" iconId="1"/>
              <x14:cfIcon iconSet="3Symbols" iconId="0"/>
            </x14:iconSet>
          </x14:cfRule>
          <xm:sqref>F97</xm:sqref>
        </x14:conditionalFormatting>
        <x14:conditionalFormatting xmlns:xm="http://schemas.microsoft.com/office/excel/2006/main">
          <x14:cfRule type="iconSet" priority="1013" id="{C8843071-6796-4C8D-B20C-710ECD2865EB}">
            <x14:iconSet iconSet="3Symbols" custom="1">
              <x14:cfvo type="percent">
                <xm:f>0</xm:f>
              </x14:cfvo>
              <x14:cfvo type="formula">
                <xm:f>$H$96*1.2</xm:f>
              </x14:cfvo>
              <x14:cfvo type="formula">
                <xm:f>IF($AJ$97=TRUE,$AI$96*1.3,$H$96*1.3)</xm:f>
              </x14:cfvo>
              <x14:cfIcon iconSet="NoIcons" iconId="0"/>
              <x14:cfIcon iconSet="3Signs" iconId="1"/>
              <x14:cfIcon iconSet="3Symbols" iconId="0"/>
            </x14:iconSet>
          </x14:cfRule>
          <xm:sqref>F96</xm:sqref>
        </x14:conditionalFormatting>
        <x14:conditionalFormatting xmlns:xm="http://schemas.microsoft.com/office/excel/2006/main">
          <x14:cfRule type="iconSet" priority="1014" id="{DEDAF62A-5295-4D01-9F0E-FE3EEE1DF22E}">
            <x14:iconSet iconSet="3Symbols" custom="1">
              <x14:cfvo type="percent">
                <xm:f>0</xm:f>
              </x14:cfvo>
              <x14:cfvo type="formula">
                <xm:f>$H$99*1.2</xm:f>
              </x14:cfvo>
              <x14:cfvo type="formula">
                <xm:f>IF($AJ$99=TRUE,$AI$99*1.3,$H$99*1.3)</xm:f>
              </x14:cfvo>
              <x14:cfIcon iconSet="NoIcons" iconId="0"/>
              <x14:cfIcon iconSet="3Signs" iconId="1"/>
              <x14:cfIcon iconSet="3Symbols" iconId="0"/>
            </x14:iconSet>
          </x14:cfRule>
          <xm:sqref>F99</xm:sqref>
        </x14:conditionalFormatting>
        <x14:conditionalFormatting xmlns:xm="http://schemas.microsoft.com/office/excel/2006/main">
          <x14:cfRule type="iconSet" priority="1015" id="{FC7C081A-0EFE-4FDA-A811-49AF90237F7D}">
            <x14:iconSet iconSet="3Symbols" custom="1">
              <x14:cfvo type="percent">
                <xm:f>0</xm:f>
              </x14:cfvo>
              <x14:cfvo type="formula">
                <xm:f>$H$98*1.2</xm:f>
              </x14:cfvo>
              <x14:cfvo type="formula">
                <xm:f>IF($AJ$99=TRUE,$AI$98*1.3,$H$98*1.3)</xm:f>
              </x14:cfvo>
              <x14:cfIcon iconSet="NoIcons" iconId="0"/>
              <x14:cfIcon iconSet="3Signs" iconId="1"/>
              <x14:cfIcon iconSet="3Symbols" iconId="0"/>
            </x14:iconSet>
          </x14:cfRule>
          <xm:sqref>F98</xm:sqref>
        </x14:conditionalFormatting>
        <x14:conditionalFormatting xmlns:xm="http://schemas.microsoft.com/office/excel/2006/main">
          <x14:cfRule type="iconSet" priority="1016" id="{2C1676E3-20F9-4739-9649-63BA531B6E72}">
            <x14:iconSet iconSet="3Symbols" custom="1">
              <x14:cfvo type="percent">
                <xm:f>0</xm:f>
              </x14:cfvo>
              <x14:cfvo type="formula">
                <xm:f>$H$101*1.2</xm:f>
              </x14:cfvo>
              <x14:cfvo type="formula">
                <xm:f>IF($AJ$101=TRUE,$AI$101*1.3,$H$101*1.3)</xm:f>
              </x14:cfvo>
              <x14:cfIcon iconSet="NoIcons" iconId="0"/>
              <x14:cfIcon iconSet="3Signs" iconId="1"/>
              <x14:cfIcon iconSet="3Symbols" iconId="0"/>
            </x14:iconSet>
          </x14:cfRule>
          <xm:sqref>F101</xm:sqref>
        </x14:conditionalFormatting>
        <x14:conditionalFormatting xmlns:xm="http://schemas.microsoft.com/office/excel/2006/main">
          <x14:cfRule type="iconSet" priority="1017" id="{8CD5BFB5-D91A-419F-B171-B539118EBBC5}">
            <x14:iconSet iconSet="3Symbols" custom="1">
              <x14:cfvo type="percent">
                <xm:f>0</xm:f>
              </x14:cfvo>
              <x14:cfvo type="formula">
                <xm:f>$H$100*1.2</xm:f>
              </x14:cfvo>
              <x14:cfvo type="formula">
                <xm:f>IF($AJ$101=TRUE,$AI$100*1.3,$H$100*1.3)</xm:f>
              </x14:cfvo>
              <x14:cfIcon iconSet="NoIcons" iconId="0"/>
              <x14:cfIcon iconSet="3Signs" iconId="1"/>
              <x14:cfIcon iconSet="3Symbols" iconId="0"/>
            </x14:iconSet>
          </x14:cfRule>
          <xm:sqref>F100</xm:sqref>
        </x14:conditionalFormatting>
        <x14:conditionalFormatting xmlns:xm="http://schemas.microsoft.com/office/excel/2006/main">
          <x14:cfRule type="iconSet" priority="1018" id="{88C65360-DD8D-42C1-B2AA-268705B38839}">
            <x14:iconSet iconSet="3Symbols" custom="1">
              <x14:cfvo type="percent">
                <xm:f>0</xm:f>
              </x14:cfvo>
              <x14:cfvo type="formula">
                <xm:f>$H$103*1.2</xm:f>
              </x14:cfvo>
              <x14:cfvo type="formula">
                <xm:f>IF($AJ$103=TRUE,$AI$103*1.3,$H$103*1.3)</xm:f>
              </x14:cfvo>
              <x14:cfIcon iconSet="NoIcons" iconId="0"/>
              <x14:cfIcon iconSet="3Signs" iconId="1"/>
              <x14:cfIcon iconSet="3Symbols" iconId="0"/>
            </x14:iconSet>
          </x14:cfRule>
          <xm:sqref>F103</xm:sqref>
        </x14:conditionalFormatting>
        <x14:conditionalFormatting xmlns:xm="http://schemas.microsoft.com/office/excel/2006/main">
          <x14:cfRule type="iconSet" priority="1019" id="{DD5A490D-218C-4391-A14E-F5635FD9DFD6}">
            <x14:iconSet iconSet="3Symbols" custom="1">
              <x14:cfvo type="percent">
                <xm:f>0</xm:f>
              </x14:cfvo>
              <x14:cfvo type="formula">
                <xm:f>$H$102*1.2</xm:f>
              </x14:cfvo>
              <x14:cfvo type="formula">
                <xm:f>IF($AJ$103=TRUE,$AI$102*1.3,$H$102*1.3)</xm:f>
              </x14:cfvo>
              <x14:cfIcon iconSet="NoIcons" iconId="0"/>
              <x14:cfIcon iconSet="3Signs" iconId="1"/>
              <x14:cfIcon iconSet="3Symbols" iconId="0"/>
            </x14:iconSet>
          </x14:cfRule>
          <xm:sqref>F102</xm:sqref>
        </x14:conditionalFormatting>
        <x14:conditionalFormatting xmlns:xm="http://schemas.microsoft.com/office/excel/2006/main">
          <x14:cfRule type="iconSet" priority="1020" id="{0BB6F82E-DC2D-43DC-8B46-274EBB40592B}">
            <x14:iconSet iconSet="3Symbols" custom="1">
              <x14:cfvo type="percent">
                <xm:f>0</xm:f>
              </x14:cfvo>
              <x14:cfvo type="formula">
                <xm:f>$H$105*1.2</xm:f>
              </x14:cfvo>
              <x14:cfvo type="formula">
                <xm:f>IF($AJ$105=TRUE,$AI$105*1.3,$H$105*1.3)</xm:f>
              </x14:cfvo>
              <x14:cfIcon iconSet="NoIcons" iconId="0"/>
              <x14:cfIcon iconSet="3Signs" iconId="1"/>
              <x14:cfIcon iconSet="3Symbols" iconId="0"/>
            </x14:iconSet>
          </x14:cfRule>
          <xm:sqref>F105</xm:sqref>
        </x14:conditionalFormatting>
        <x14:conditionalFormatting xmlns:xm="http://schemas.microsoft.com/office/excel/2006/main">
          <x14:cfRule type="iconSet" priority="1021" id="{CCE8E115-C627-4638-8E2A-928398BA4A67}">
            <x14:iconSet iconSet="3Symbols" custom="1">
              <x14:cfvo type="percent">
                <xm:f>0</xm:f>
              </x14:cfvo>
              <x14:cfvo type="formula">
                <xm:f>$H$104*1.2</xm:f>
              </x14:cfvo>
              <x14:cfvo type="formula">
                <xm:f>IF($AJ$105=TRUE,$AI$104*1.3,$H$104*1.3)</xm:f>
              </x14:cfvo>
              <x14:cfIcon iconSet="NoIcons" iconId="0"/>
              <x14:cfIcon iconSet="3Signs" iconId="1"/>
              <x14:cfIcon iconSet="3Symbols" iconId="0"/>
            </x14:iconSet>
          </x14:cfRule>
          <xm:sqref>F104</xm:sqref>
        </x14:conditionalFormatting>
        <x14:conditionalFormatting xmlns:xm="http://schemas.microsoft.com/office/excel/2006/main">
          <x14:cfRule type="iconSet" priority="1022" id="{3EDAD34E-8182-4D97-88F0-19C71436A7A1}">
            <x14:iconSet iconSet="3Symbols" custom="1">
              <x14:cfvo type="percent">
                <xm:f>0</xm:f>
              </x14:cfvo>
              <x14:cfvo type="formula">
                <xm:f>$H$107*1.2</xm:f>
              </x14:cfvo>
              <x14:cfvo type="formula">
                <xm:f>IF($AJ$107=TRUE,$AI$107*1.3,$H$107*1.3)</xm:f>
              </x14:cfvo>
              <x14:cfIcon iconSet="NoIcons" iconId="0"/>
              <x14:cfIcon iconSet="3Signs" iconId="1"/>
              <x14:cfIcon iconSet="3Symbols" iconId="0"/>
            </x14:iconSet>
          </x14:cfRule>
          <xm:sqref>F107</xm:sqref>
        </x14:conditionalFormatting>
        <x14:conditionalFormatting xmlns:xm="http://schemas.microsoft.com/office/excel/2006/main">
          <x14:cfRule type="iconSet" priority="1023" id="{20E66619-4295-4F23-9836-90766D084EA3}">
            <x14:iconSet iconSet="3Symbols" custom="1">
              <x14:cfvo type="percent">
                <xm:f>0</xm:f>
              </x14:cfvo>
              <x14:cfvo type="formula">
                <xm:f>$H$106*1.2</xm:f>
              </x14:cfvo>
              <x14:cfvo type="formula">
                <xm:f>IF($AJ$107=TRUE,$AI$106*1.3,$H$106*1.3)</xm:f>
              </x14:cfvo>
              <x14:cfIcon iconSet="NoIcons" iconId="0"/>
              <x14:cfIcon iconSet="3Signs" iconId="1"/>
              <x14:cfIcon iconSet="3Symbols" iconId="0"/>
            </x14:iconSet>
          </x14:cfRule>
          <xm:sqref>F106</xm:sqref>
        </x14:conditionalFormatting>
        <x14:conditionalFormatting xmlns:xm="http://schemas.microsoft.com/office/excel/2006/main">
          <x14:cfRule type="iconSet" priority="1024" id="{784A01C2-F47C-46A2-A079-CEB3D7F370BD}">
            <x14:iconSet iconSet="3Symbols" custom="1">
              <x14:cfvo type="percent">
                <xm:f>0</xm:f>
              </x14:cfvo>
              <x14:cfvo type="formula">
                <xm:f>$H$109*1.2</xm:f>
              </x14:cfvo>
              <x14:cfvo type="formula">
                <xm:f>IF($AJ$109=TRUE,$AI$109*1.3,$H$109*1.3)</xm:f>
              </x14:cfvo>
              <x14:cfIcon iconSet="NoIcons" iconId="0"/>
              <x14:cfIcon iconSet="3Signs" iconId="1"/>
              <x14:cfIcon iconSet="3Symbols" iconId="0"/>
            </x14:iconSet>
          </x14:cfRule>
          <xm:sqref>F109</xm:sqref>
        </x14:conditionalFormatting>
        <x14:conditionalFormatting xmlns:xm="http://schemas.microsoft.com/office/excel/2006/main">
          <x14:cfRule type="iconSet" priority="1025" id="{EDC6CCA2-C92A-4217-B605-73DBEB63C4E4}">
            <x14:iconSet iconSet="3Symbols" custom="1">
              <x14:cfvo type="percent">
                <xm:f>0</xm:f>
              </x14:cfvo>
              <x14:cfvo type="formula">
                <xm:f>$H$108*1.2</xm:f>
              </x14:cfvo>
              <x14:cfvo type="formula">
                <xm:f>IF($AJ$109=TRUE,$AI$108*1.3,$H$108*1.3)</xm:f>
              </x14:cfvo>
              <x14:cfIcon iconSet="NoIcons" iconId="0"/>
              <x14:cfIcon iconSet="3Signs" iconId="1"/>
              <x14:cfIcon iconSet="3Symbols" iconId="0"/>
            </x14:iconSet>
          </x14:cfRule>
          <xm:sqref>F108</xm:sqref>
        </x14:conditionalFormatting>
        <x14:conditionalFormatting xmlns:xm="http://schemas.microsoft.com/office/excel/2006/main">
          <x14:cfRule type="iconSet" priority="1026" id="{D23C6202-D636-4A64-834E-70FDD33B53FF}">
            <x14:iconSet iconSet="3Symbols" custom="1">
              <x14:cfvo type="percent">
                <xm:f>0</xm:f>
              </x14:cfvo>
              <x14:cfvo type="formula">
                <xm:f>$H$111*1.2</xm:f>
              </x14:cfvo>
              <x14:cfvo type="formula">
                <xm:f>IF($AJ$111=TRUE,$AI$111*1.3,$H$111*1.3)</xm:f>
              </x14:cfvo>
              <x14:cfIcon iconSet="NoIcons" iconId="0"/>
              <x14:cfIcon iconSet="3Signs" iconId="1"/>
              <x14:cfIcon iconSet="3Symbols" iconId="0"/>
            </x14:iconSet>
          </x14:cfRule>
          <xm:sqref>F111</xm:sqref>
        </x14:conditionalFormatting>
        <x14:conditionalFormatting xmlns:xm="http://schemas.microsoft.com/office/excel/2006/main">
          <x14:cfRule type="iconSet" priority="1027" id="{87A35D12-2C90-4555-ABDA-3D6A33DD7DF3}">
            <x14:iconSet iconSet="3Symbols" custom="1">
              <x14:cfvo type="percent">
                <xm:f>0</xm:f>
              </x14:cfvo>
              <x14:cfvo type="formula">
                <xm:f>$H$110*1.2</xm:f>
              </x14:cfvo>
              <x14:cfvo type="formula">
                <xm:f>IF($AJ$111=TRUE,$AI$110*1.3,$H$110*1.3)</xm:f>
              </x14:cfvo>
              <x14:cfIcon iconSet="NoIcons" iconId="0"/>
              <x14:cfIcon iconSet="3Signs" iconId="1"/>
              <x14:cfIcon iconSet="3Symbols" iconId="0"/>
            </x14:iconSet>
          </x14:cfRule>
          <xm:sqref>F110</xm:sqref>
        </x14:conditionalFormatting>
        <x14:conditionalFormatting xmlns:xm="http://schemas.microsoft.com/office/excel/2006/main">
          <x14:cfRule type="iconSet" priority="1028" id="{A50FB033-493B-4F12-ADE3-84CF2765F3AF}">
            <x14:iconSet iconSet="3Symbols" custom="1">
              <x14:cfvo type="percent">
                <xm:f>0</xm:f>
              </x14:cfvo>
              <x14:cfvo type="formula">
                <xm:f>$H$113*1.2</xm:f>
              </x14:cfvo>
              <x14:cfvo type="formula">
                <xm:f>IF($AJ$113=TRUE,$AI$113*1.3,$H$113*1.3)</xm:f>
              </x14:cfvo>
              <x14:cfIcon iconSet="NoIcons" iconId="0"/>
              <x14:cfIcon iconSet="3Signs" iconId="1"/>
              <x14:cfIcon iconSet="3Symbols" iconId="0"/>
            </x14:iconSet>
          </x14:cfRule>
          <xm:sqref>F113</xm:sqref>
        </x14:conditionalFormatting>
        <x14:conditionalFormatting xmlns:xm="http://schemas.microsoft.com/office/excel/2006/main">
          <x14:cfRule type="iconSet" priority="1029" id="{04BD34D7-F787-499A-A546-DB75F4AB346C}">
            <x14:iconSet iconSet="3Symbols" custom="1">
              <x14:cfvo type="percent">
                <xm:f>0</xm:f>
              </x14:cfvo>
              <x14:cfvo type="formula">
                <xm:f>$H$112*1.2</xm:f>
              </x14:cfvo>
              <x14:cfvo type="formula">
                <xm:f>IF($AJ$113=TRUE,$AI$112*1.3,$H$112*1.3)</xm:f>
              </x14:cfvo>
              <x14:cfIcon iconSet="NoIcons" iconId="0"/>
              <x14:cfIcon iconSet="3Signs" iconId="1"/>
              <x14:cfIcon iconSet="3Symbols" iconId="0"/>
            </x14:iconSet>
          </x14:cfRule>
          <xm:sqref>F112</xm:sqref>
        </x14:conditionalFormatting>
        <x14:conditionalFormatting xmlns:xm="http://schemas.microsoft.com/office/excel/2006/main">
          <x14:cfRule type="iconSet" priority="1030" id="{89F1B773-785F-4C1D-9C29-C9F2F36DE5FC}">
            <x14:iconSet iconSet="3Symbols" custom="1">
              <x14:cfvo type="percent">
                <xm:f>0</xm:f>
              </x14:cfvo>
              <x14:cfvo type="formula">
                <xm:f>$H$115*1.2</xm:f>
              </x14:cfvo>
              <x14:cfvo type="formula">
                <xm:f>IF($AJ$115=TRUE,$AI$115*1.3,$H$115*1.3)</xm:f>
              </x14:cfvo>
              <x14:cfIcon iconSet="NoIcons" iconId="0"/>
              <x14:cfIcon iconSet="3Signs" iconId="1"/>
              <x14:cfIcon iconSet="3Symbols" iconId="0"/>
            </x14:iconSet>
          </x14:cfRule>
          <xm:sqref>F115</xm:sqref>
        </x14:conditionalFormatting>
        <x14:conditionalFormatting xmlns:xm="http://schemas.microsoft.com/office/excel/2006/main">
          <x14:cfRule type="iconSet" priority="1031" id="{0CFF9812-BA74-4DD7-A6D1-5FA4E549C9A0}">
            <x14:iconSet iconSet="3Symbols" custom="1">
              <x14:cfvo type="percent">
                <xm:f>0</xm:f>
              </x14:cfvo>
              <x14:cfvo type="formula">
                <xm:f>$H$114*1.2</xm:f>
              </x14:cfvo>
              <x14:cfvo type="formula">
                <xm:f>IF($AJ$115=TRUE,$AI$114*1.3,$H$114*1.3)</xm:f>
              </x14:cfvo>
              <x14:cfIcon iconSet="NoIcons" iconId="0"/>
              <x14:cfIcon iconSet="3Signs" iconId="1"/>
              <x14:cfIcon iconSet="3Symbols" iconId="0"/>
            </x14:iconSet>
          </x14:cfRule>
          <xm:sqref>F114</xm:sqref>
        </x14:conditionalFormatting>
        <x14:conditionalFormatting xmlns:xm="http://schemas.microsoft.com/office/excel/2006/main">
          <x14:cfRule type="iconSet" priority="1032" id="{8B874CDE-6074-4592-AEF9-3A54D7F9D06F}">
            <x14:iconSet iconSet="3Symbols" custom="1">
              <x14:cfvo type="percent">
                <xm:f>0</xm:f>
              </x14:cfvo>
              <x14:cfvo type="formula">
                <xm:f>$H$117*1.2</xm:f>
              </x14:cfvo>
              <x14:cfvo type="formula">
                <xm:f>IF($AJ$117=TRUE,$AI$117*1.3,$H$117*1.3)</xm:f>
              </x14:cfvo>
              <x14:cfIcon iconSet="NoIcons" iconId="0"/>
              <x14:cfIcon iconSet="3Signs" iconId="1"/>
              <x14:cfIcon iconSet="3Symbols" iconId="0"/>
            </x14:iconSet>
          </x14:cfRule>
          <xm:sqref>F117</xm:sqref>
        </x14:conditionalFormatting>
        <x14:conditionalFormatting xmlns:xm="http://schemas.microsoft.com/office/excel/2006/main">
          <x14:cfRule type="iconSet" priority="1033" id="{1C873EF5-0313-4B44-A76D-E08483D899CA}">
            <x14:iconSet iconSet="3Symbols" custom="1">
              <x14:cfvo type="percent">
                <xm:f>0</xm:f>
              </x14:cfvo>
              <x14:cfvo type="formula">
                <xm:f>$H$116*1.2</xm:f>
              </x14:cfvo>
              <x14:cfvo type="formula">
                <xm:f>IF($AJ$117=TRUE,$AI$116*1.3,$H$116*1.3)</xm:f>
              </x14:cfvo>
              <x14:cfIcon iconSet="NoIcons" iconId="0"/>
              <x14:cfIcon iconSet="3Signs" iconId="1"/>
              <x14:cfIcon iconSet="3Symbols" iconId="0"/>
            </x14:iconSet>
          </x14:cfRule>
          <xm:sqref>F116</xm:sqref>
        </x14:conditionalFormatting>
        <x14:conditionalFormatting xmlns:xm="http://schemas.microsoft.com/office/excel/2006/main">
          <x14:cfRule type="iconSet" priority="1034" id="{5346F806-2C60-4B67-AAAC-1C37CFF541E5}">
            <x14:iconSet iconSet="3Symbols" custom="1">
              <x14:cfvo type="percent">
                <xm:f>0</xm:f>
              </x14:cfvo>
              <x14:cfvo type="formula">
                <xm:f>$H$119*1.2</xm:f>
              </x14:cfvo>
              <x14:cfvo type="formula">
                <xm:f>IF($AJ$119=TRUE,$AI$119*1.3,$H$119*1.3)</xm:f>
              </x14:cfvo>
              <x14:cfIcon iconSet="NoIcons" iconId="0"/>
              <x14:cfIcon iconSet="3Signs" iconId="1"/>
              <x14:cfIcon iconSet="3Symbols" iconId="0"/>
            </x14:iconSet>
          </x14:cfRule>
          <xm:sqref>F119</xm:sqref>
        </x14:conditionalFormatting>
        <x14:conditionalFormatting xmlns:xm="http://schemas.microsoft.com/office/excel/2006/main">
          <x14:cfRule type="iconSet" priority="1035" id="{8A7C1319-A877-4718-A4FE-D4802F2F9DF4}">
            <x14:iconSet iconSet="3Symbols" custom="1">
              <x14:cfvo type="percent">
                <xm:f>0</xm:f>
              </x14:cfvo>
              <x14:cfvo type="formula">
                <xm:f>$H$118*1.2</xm:f>
              </x14:cfvo>
              <x14:cfvo type="formula">
                <xm:f>IF($AJ$119=TRUE,$AI$118*1.3,$H$118*1.3)</xm:f>
              </x14:cfvo>
              <x14:cfIcon iconSet="NoIcons" iconId="0"/>
              <x14:cfIcon iconSet="3Signs" iconId="1"/>
              <x14:cfIcon iconSet="3Symbols" iconId="0"/>
            </x14:iconSet>
          </x14:cfRule>
          <xm:sqref>F118</xm:sqref>
        </x14:conditionalFormatting>
        <x14:conditionalFormatting xmlns:xm="http://schemas.microsoft.com/office/excel/2006/main">
          <x14:cfRule type="iconSet" priority="1036" id="{DE213FA6-94F2-4465-A099-1C32FCA11617}">
            <x14:iconSet iconSet="3Symbols" custom="1">
              <x14:cfvo type="percent">
                <xm:f>0</xm:f>
              </x14:cfvo>
              <x14:cfvo type="formula">
                <xm:f>$H$121*1.2</xm:f>
              </x14:cfvo>
              <x14:cfvo type="formula">
                <xm:f>IF($AJ$121=TRUE,$AI$121*1.3,$H$121*1.3)</xm:f>
              </x14:cfvo>
              <x14:cfIcon iconSet="NoIcons" iconId="0"/>
              <x14:cfIcon iconSet="3Signs" iconId="1"/>
              <x14:cfIcon iconSet="3Symbols" iconId="0"/>
            </x14:iconSet>
          </x14:cfRule>
          <xm:sqref>F121</xm:sqref>
        </x14:conditionalFormatting>
        <x14:conditionalFormatting xmlns:xm="http://schemas.microsoft.com/office/excel/2006/main">
          <x14:cfRule type="iconSet" priority="1037" id="{D2423E8F-434B-4127-AA2E-B73AC6E2AAB0}">
            <x14:iconSet iconSet="3Symbols" custom="1">
              <x14:cfvo type="percent">
                <xm:f>0</xm:f>
              </x14:cfvo>
              <x14:cfvo type="formula">
                <xm:f>$H$120*1.2</xm:f>
              </x14:cfvo>
              <x14:cfvo type="formula">
                <xm:f>IF($AJ$121=TRUE,$AI$120*1.3,$H$120*1.3)</xm:f>
              </x14:cfvo>
              <x14:cfIcon iconSet="NoIcons" iconId="0"/>
              <x14:cfIcon iconSet="3Signs" iconId="1"/>
              <x14:cfIcon iconSet="3Symbols" iconId="0"/>
            </x14:iconSet>
          </x14:cfRule>
          <xm:sqref>F120</xm:sqref>
        </x14:conditionalFormatting>
        <x14:conditionalFormatting xmlns:xm="http://schemas.microsoft.com/office/excel/2006/main">
          <x14:cfRule type="iconSet" priority="1038" id="{3B762417-5E8E-43B1-857A-2C8A3CF0D78E}">
            <x14:iconSet iconSet="3Symbols" custom="1">
              <x14:cfvo type="percent">
                <xm:f>0</xm:f>
              </x14:cfvo>
              <x14:cfvo type="formula">
                <xm:f>$H$123*1.2</xm:f>
              </x14:cfvo>
              <x14:cfvo type="formula">
                <xm:f>IF($AJ$123=TRUE,$AI$123*1.3,$H$123*1.3)</xm:f>
              </x14:cfvo>
              <x14:cfIcon iconSet="NoIcons" iconId="0"/>
              <x14:cfIcon iconSet="3Signs" iconId="1"/>
              <x14:cfIcon iconSet="3Symbols" iconId="0"/>
            </x14:iconSet>
          </x14:cfRule>
          <xm:sqref>F123</xm:sqref>
        </x14:conditionalFormatting>
        <x14:conditionalFormatting xmlns:xm="http://schemas.microsoft.com/office/excel/2006/main">
          <x14:cfRule type="iconSet" priority="1039" id="{E6EFBF64-1645-4CB8-9B29-8605D883302F}">
            <x14:iconSet iconSet="3Symbols" custom="1">
              <x14:cfvo type="percent">
                <xm:f>0</xm:f>
              </x14:cfvo>
              <x14:cfvo type="formula">
                <xm:f>$H$122*1.2</xm:f>
              </x14:cfvo>
              <x14:cfvo type="formula">
                <xm:f>IF($AJ$123=TRUE,$AI$122*1.3,$H$122*1.3)</xm:f>
              </x14:cfvo>
              <x14:cfIcon iconSet="NoIcons" iconId="0"/>
              <x14:cfIcon iconSet="3Signs" iconId="1"/>
              <x14:cfIcon iconSet="3Symbols" iconId="0"/>
            </x14:iconSet>
          </x14:cfRule>
          <xm:sqref>F122</xm:sqref>
        </x14:conditionalFormatting>
        <x14:conditionalFormatting xmlns:xm="http://schemas.microsoft.com/office/excel/2006/main">
          <x14:cfRule type="iconSet" priority="1040" id="{FB64E999-2AC0-49A8-A05E-00FDCA81C5A7}">
            <x14:iconSet iconSet="3Symbols" custom="1">
              <x14:cfvo type="percent">
                <xm:f>0</xm:f>
              </x14:cfvo>
              <x14:cfvo type="formula">
                <xm:f>$H$125*1.2</xm:f>
              </x14:cfvo>
              <x14:cfvo type="formula">
                <xm:f>IF($AJ$125=TRUE,$AI$125*1.3,$H$125*1.3)</xm:f>
              </x14:cfvo>
              <x14:cfIcon iconSet="NoIcons" iconId="0"/>
              <x14:cfIcon iconSet="3Signs" iconId="1"/>
              <x14:cfIcon iconSet="3Symbols" iconId="0"/>
            </x14:iconSet>
          </x14:cfRule>
          <xm:sqref>F125</xm:sqref>
        </x14:conditionalFormatting>
        <x14:conditionalFormatting xmlns:xm="http://schemas.microsoft.com/office/excel/2006/main">
          <x14:cfRule type="iconSet" priority="1041" id="{98FD84DC-43CD-4DA2-AA65-D9C634BBC45A}">
            <x14:iconSet iconSet="3Symbols" custom="1">
              <x14:cfvo type="percent">
                <xm:f>0</xm:f>
              </x14:cfvo>
              <x14:cfvo type="formula">
                <xm:f>$H$124*1.2</xm:f>
              </x14:cfvo>
              <x14:cfvo type="formula">
                <xm:f>IF($AJ$125=TRUE,$AI$124*1.3,$H$124*1.3)</xm:f>
              </x14:cfvo>
              <x14:cfIcon iconSet="NoIcons" iconId="0"/>
              <x14:cfIcon iconSet="3Signs" iconId="1"/>
              <x14:cfIcon iconSet="3Symbols" iconId="0"/>
            </x14:iconSet>
          </x14:cfRule>
          <xm:sqref>F124</xm:sqref>
        </x14:conditionalFormatting>
        <x14:conditionalFormatting xmlns:xm="http://schemas.microsoft.com/office/excel/2006/main">
          <x14:cfRule type="iconSet" priority="1042" id="{529A1953-1875-40ED-8AB4-7E0DE7CAFECD}">
            <x14:iconSet iconSet="3Symbols" custom="1">
              <x14:cfvo type="percent">
                <xm:f>0</xm:f>
              </x14:cfvo>
              <x14:cfvo type="formula">
                <xm:f>$H$126*1.2</xm:f>
              </x14:cfvo>
              <x14:cfvo type="formula">
                <xm:f>IF($AJ$127=TRUE,$AI$126*1.3,$H$126*1.3)</xm:f>
              </x14:cfvo>
              <x14:cfIcon iconSet="NoIcons" iconId="0"/>
              <x14:cfIcon iconSet="3Signs" iconId="1"/>
              <x14:cfIcon iconSet="3Symbols" iconId="0"/>
            </x14:iconSet>
          </x14:cfRule>
          <xm:sqref>F126</xm:sqref>
        </x14:conditionalFormatting>
        <x14:conditionalFormatting xmlns:xm="http://schemas.microsoft.com/office/excel/2006/main">
          <x14:cfRule type="iconSet" priority="1043" id="{B3786811-8DA9-4B21-9DC3-E37B60CA4515}">
            <x14:iconSet iconSet="3Symbols" custom="1">
              <x14:cfvo type="percent">
                <xm:f>0</xm:f>
              </x14:cfvo>
              <x14:cfvo type="formula">
                <xm:f>$H$129*1.2</xm:f>
              </x14:cfvo>
              <x14:cfvo type="formula">
                <xm:f>IF($AJ$129=TRUE,$AI$129*1.3,$H$129*1.3)</xm:f>
              </x14:cfvo>
              <x14:cfIcon iconSet="NoIcons" iconId="0"/>
              <x14:cfIcon iconSet="3Signs" iconId="1"/>
              <x14:cfIcon iconSet="3Symbols" iconId="0"/>
            </x14:iconSet>
          </x14:cfRule>
          <xm:sqref>F129</xm:sqref>
        </x14:conditionalFormatting>
        <x14:conditionalFormatting xmlns:xm="http://schemas.microsoft.com/office/excel/2006/main">
          <x14:cfRule type="iconSet" priority="1044" id="{71E1C0BD-5AE6-4E62-BFA6-7CCCE6F2BBC8}">
            <x14:iconSet iconSet="3Symbols" custom="1">
              <x14:cfvo type="percent">
                <xm:f>0</xm:f>
              </x14:cfvo>
              <x14:cfvo type="formula">
                <xm:f>$H$128*1.2</xm:f>
              </x14:cfvo>
              <x14:cfvo type="formula">
                <xm:f>IF($AJ$129=TRUE,$AI$128*1.3,$H$128*1.3)</xm:f>
              </x14:cfvo>
              <x14:cfIcon iconSet="NoIcons" iconId="0"/>
              <x14:cfIcon iconSet="3Signs" iconId="1"/>
              <x14:cfIcon iconSet="3Symbols" iconId="0"/>
            </x14:iconSet>
          </x14:cfRule>
          <xm:sqref>F128</xm:sqref>
        </x14:conditionalFormatting>
        <x14:conditionalFormatting xmlns:xm="http://schemas.microsoft.com/office/excel/2006/main">
          <x14:cfRule type="iconSet" priority="1045" id="{9EF68130-BB42-4988-92D8-36272544DC33}">
            <x14:iconSet iconSet="3Symbols" custom="1">
              <x14:cfvo type="percent">
                <xm:f>0</xm:f>
              </x14:cfvo>
              <x14:cfvo type="formula">
                <xm:f>$H$130*1.2</xm:f>
              </x14:cfvo>
              <x14:cfvo type="formula">
                <xm:f>IF($AJ$131=TRUE,$AI$130*1.3,$H$130*1.3)</xm:f>
              </x14:cfvo>
              <x14:cfIcon iconSet="NoIcons" iconId="0"/>
              <x14:cfIcon iconSet="3Signs" iconId="1"/>
              <x14:cfIcon iconSet="3Symbols" iconId="0"/>
            </x14:iconSet>
          </x14:cfRule>
          <xm:sqref>F130</xm:sqref>
        </x14:conditionalFormatting>
        <x14:conditionalFormatting xmlns:xm="http://schemas.microsoft.com/office/excel/2006/main">
          <x14:cfRule type="iconSet" priority="1046" id="{264CF7EA-CFDB-4C52-B05C-3A617FBDBCC1}">
            <x14:iconSet iconSet="3Symbols" showValue="0" custom="1">
              <x14:cfvo type="percent">
                <xm:f>0</xm:f>
              </x14:cfvo>
              <x14:cfvo type="formula">
                <xm:f>0</xm:f>
              </x14:cfvo>
              <x14:cfvo type="formula" gte="0">
                <xm:f>IF($AJ$14=TRUE,$AI$14,$H$14)</xm:f>
              </x14:cfvo>
              <x14:cfIcon iconSet="NoIcons" iconId="0"/>
              <x14:cfIcon iconSet="NoIcons" iconId="0"/>
              <x14:cfIcon iconSet="3Symbols" iconId="1"/>
            </x14:iconSet>
          </x14:cfRule>
          <xm:sqref>F14</xm:sqref>
        </x14:conditionalFormatting>
        <x14:conditionalFormatting xmlns:xm="http://schemas.microsoft.com/office/excel/2006/main">
          <x14:cfRule type="iconSet" priority="1047" id="{87657D72-699E-4B97-BDD7-852C9F13D08D}">
            <x14:iconSet iconSet="3Symbols" custom="1">
              <x14:cfvo type="percent">
                <xm:f>0</xm:f>
              </x14:cfvo>
              <x14:cfvo type="formula">
                <xm:f>$H$131*1.2</xm:f>
              </x14:cfvo>
              <x14:cfvo type="formula">
                <xm:f>IF($AJ$131=TRUE,$AI$131*1.3,$H$131*1.3)</xm:f>
              </x14:cfvo>
              <x14:cfIcon iconSet="NoIcons" iconId="0"/>
              <x14:cfIcon iconSet="3Signs" iconId="1"/>
              <x14:cfIcon iconSet="3Symbols" iconId="0"/>
            </x14:iconSet>
          </x14:cfRule>
          <xm:sqref>F131</xm:sqref>
        </x14:conditionalFormatting>
        <x14:conditionalFormatting xmlns:xm="http://schemas.microsoft.com/office/excel/2006/main">
          <x14:cfRule type="iconSet" priority="1048" id="{277EDC54-7004-4CBA-B5B9-A714D24C1198}">
            <x14:iconSet iconSet="3Symbols" showValue="0" custom="1">
              <x14:cfvo type="percent">
                <xm:f>0</xm:f>
              </x14:cfvo>
              <x14:cfvo type="formula">
                <xm:f>$H$32*1.2</xm:f>
              </x14:cfvo>
              <x14:cfvo type="formula" gte="0">
                <xm:f>IF($AJ$32=TRUE,$AI$32*1.3,$H$32*1.3)</xm:f>
              </x14:cfvo>
              <x14:cfIcon iconSet="NoIcons" iconId="0"/>
              <x14:cfIcon iconSet="3Signs" iconId="1"/>
              <x14:cfIcon iconSet="3Symbols" iconId="0"/>
            </x14:iconSet>
          </x14:cfRule>
          <xm:sqref>F32</xm:sqref>
        </x14:conditionalFormatting>
      </x14:conditionalFormattings>
    </ext>
    <ext xmlns:x14="http://schemas.microsoft.com/office/spreadsheetml/2009/9/main" uri="{CCE6A557-97BC-4b89-ADB6-D9C93CAAB3DF}">
      <x14:dataValidations xmlns:xm="http://schemas.microsoft.com/office/excel/2006/main" xWindow="703" yWindow="503" count="4">
        <x14:dataValidation type="whole" allowBlank="1" showInputMessage="1" showErrorMessage="1" xr:uid="{595D402F-21C6-424A-AC55-95D9FD88B017}">
          <x14:formula1>
            <xm:f>0</xm:f>
          </x14:formula1>
          <x14:formula2>
            <xm:f>IF(Stammblatt!I10=TRUE,1000)</xm:f>
          </x14:formula2>
          <xm:sqref>E352</xm:sqref>
        </x14:dataValidation>
        <x14:dataValidation type="whole" allowBlank="1" showInputMessage="1" showErrorMessage="1" xr:uid="{2E0063C3-DDA3-486A-8D6D-748B343BAB7D}">
          <x14:formula1>
            <xm:f>0</xm:f>
          </x14:formula1>
          <x14:formula2>
            <xm:f>IF(Stammblatt!I10=TRUE,1000)</xm:f>
          </x14:formula2>
          <xm:sqref>E353</xm:sqref>
        </x14:dataValidation>
        <x14:dataValidation type="whole" allowBlank="1" showInputMessage="1" showErrorMessage="1" xr:uid="{C915615A-9188-498D-A6F2-BE8562633FB0}">
          <x14:formula1>
            <xm:f>0</xm:f>
          </x14:formula1>
          <x14:formula2>
            <xm:f>IF(Stammblatt!I10=TRUE,1000)</xm:f>
          </x14:formula2>
          <xm:sqref>E354</xm:sqref>
        </x14:dataValidation>
        <x14:dataValidation type="whole" operator="lessThanOrEqual" allowBlank="1" showInputMessage="1" showErrorMessage="1" promptTitle="ANERKANNTE HÖCHSTSÄTZE" prompt="Das Honorar für Green Film Consultant ist mit max. € 7.000 begrenzt, im Falle von BMKÖS-geförderten Projekten beträgt der Höchstsatz € 3.000." xr:uid="{E3DD288A-5FC0-42F1-AD11-6CE2CA936BDB}">
          <x14:formula1>
            <xm:f>IF(Stammblatt!I10=TRUE,3000,7000)</xm:f>
          </x14:formula1>
          <xm:sqref>E234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0"/>
  <sheetViews>
    <sheetView workbookViewId="0">
      <selection activeCell="B7" sqref="B7"/>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653" t="str">
        <f>Stammblatt!A1</f>
        <v>Projekttitel</v>
      </c>
      <c r="B1" s="397"/>
      <c r="C1" s="397"/>
      <c r="D1" s="397"/>
      <c r="E1" s="397"/>
      <c r="F1" s="281"/>
      <c r="G1" s="281"/>
      <c r="H1" s="281"/>
      <c r="I1" s="281"/>
      <c r="J1" s="281"/>
      <c r="K1" s="281"/>
      <c r="L1" s="281"/>
      <c r="M1" s="281"/>
      <c r="N1" s="281"/>
      <c r="O1" s="281"/>
      <c r="P1" s="281"/>
      <c r="Q1" s="281"/>
      <c r="R1" s="281"/>
      <c r="S1" s="281"/>
      <c r="T1" s="281"/>
      <c r="U1" s="281"/>
      <c r="V1" s="281"/>
      <c r="W1" s="281"/>
      <c r="X1" s="281"/>
      <c r="Y1" s="281"/>
      <c r="Z1" s="281"/>
      <c r="AA1" s="281"/>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row>
    <row r="2" spans="1:52" ht="15" customHeight="1" x14ac:dyDescent="0.2">
      <c r="A2" s="826" t="s">
        <v>136</v>
      </c>
      <c r="B2" s="850" t="str">
        <f>IF(Stammblatt!B11=0,"",Stammblatt!B11)</f>
        <v/>
      </c>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row>
    <row r="3" spans="1:52" ht="15" customHeight="1" x14ac:dyDescent="0.2">
      <c r="A3" s="827"/>
      <c r="B3" s="23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row>
    <row r="4" spans="1:52" ht="15" customHeight="1" x14ac:dyDescent="0.2">
      <c r="A4" s="849" t="s">
        <v>1042</v>
      </c>
      <c r="B4" s="281" t="s">
        <v>731</v>
      </c>
      <c r="C4" s="828" t="s">
        <v>750</v>
      </c>
      <c r="D4" s="829" t="s">
        <v>930</v>
      </c>
      <c r="E4" s="828" t="s">
        <v>751</v>
      </c>
      <c r="F4" s="281"/>
      <c r="G4" s="281"/>
      <c r="H4" s="281"/>
      <c r="I4" s="281"/>
      <c r="J4" s="281"/>
      <c r="K4" s="281"/>
      <c r="L4" s="281"/>
      <c r="M4" s="281"/>
      <c r="N4" s="281"/>
      <c r="O4" s="281"/>
      <c r="P4" s="281"/>
      <c r="Q4" s="281"/>
      <c r="R4" s="281"/>
      <c r="S4" s="281"/>
      <c r="T4" s="281"/>
      <c r="U4" s="281"/>
      <c r="V4" s="281"/>
      <c r="W4" s="281"/>
      <c r="X4" s="281"/>
      <c r="Y4" s="281"/>
      <c r="Z4" s="281"/>
      <c r="AA4" s="281"/>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row>
    <row r="5" spans="1:52" ht="15" customHeight="1" x14ac:dyDescent="0.2">
      <c r="A5" s="849"/>
      <c r="B5" s="281"/>
      <c r="C5" s="828"/>
      <c r="D5" s="829"/>
      <c r="E5" s="828"/>
      <c r="F5" s="281"/>
      <c r="G5" s="281"/>
      <c r="H5" s="281"/>
      <c r="I5" s="281"/>
      <c r="J5" s="281"/>
      <c r="K5" s="281"/>
      <c r="L5" s="281"/>
      <c r="M5" s="281"/>
      <c r="N5" s="281"/>
      <c r="O5" s="281"/>
      <c r="P5" s="281"/>
      <c r="Q5" s="281"/>
      <c r="R5" s="281"/>
      <c r="S5" s="281"/>
      <c r="T5" s="281"/>
      <c r="U5" s="281"/>
      <c r="V5" s="281"/>
      <c r="W5" s="281"/>
      <c r="X5" s="281"/>
      <c r="Y5" s="281"/>
      <c r="Z5" s="281"/>
      <c r="AA5" s="281"/>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row>
    <row r="6" spans="1:52" ht="15" customHeight="1" x14ac:dyDescent="0.2">
      <c r="A6" s="848" t="s">
        <v>1038</v>
      </c>
      <c r="B6" s="281"/>
      <c r="C6" s="828"/>
      <c r="D6" s="829"/>
      <c r="E6" s="828"/>
      <c r="F6" s="281"/>
      <c r="G6" s="281"/>
      <c r="H6" s="281"/>
      <c r="I6" s="281"/>
      <c r="J6" s="281"/>
      <c r="K6" s="281"/>
      <c r="L6" s="281"/>
      <c r="M6" s="281"/>
      <c r="N6" s="281"/>
      <c r="O6" s="281"/>
      <c r="P6" s="281"/>
      <c r="Q6" s="281"/>
      <c r="R6" s="281"/>
      <c r="S6" s="281"/>
      <c r="T6" s="281"/>
      <c r="U6" s="281"/>
      <c r="V6" s="281"/>
      <c r="W6" s="281"/>
      <c r="X6" s="281"/>
      <c r="Y6" s="281"/>
      <c r="Z6" s="281"/>
      <c r="AA6" s="281"/>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row>
    <row r="7" spans="1:52" ht="15" customHeight="1" x14ac:dyDescent="0.2">
      <c r="A7" s="426" t="s">
        <v>149</v>
      </c>
      <c r="B7" s="37"/>
      <c r="C7" s="150">
        <v>0</v>
      </c>
      <c r="D7" s="832"/>
      <c r="E7" s="150">
        <v>0</v>
      </c>
      <c r="F7" s="281"/>
      <c r="G7" s="281"/>
      <c r="H7" s="281"/>
      <c r="I7" s="281"/>
      <c r="J7" s="281"/>
      <c r="K7" s="281"/>
      <c r="L7" s="281"/>
      <c r="M7" s="281"/>
      <c r="N7" s="281"/>
      <c r="O7" s="281"/>
      <c r="P7" s="281"/>
      <c r="Q7" s="281"/>
      <c r="R7" s="281"/>
      <c r="S7" s="281"/>
      <c r="T7" s="281"/>
      <c r="U7" s="281"/>
      <c r="V7" s="281"/>
      <c r="W7" s="281"/>
      <c r="X7" s="281"/>
      <c r="Y7" s="281"/>
      <c r="Z7" s="281"/>
      <c r="AA7" s="281"/>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row>
    <row r="8" spans="1:52" ht="15" customHeight="1" x14ac:dyDescent="0.2">
      <c r="A8" s="426" t="s">
        <v>144</v>
      </c>
      <c r="B8" s="37"/>
      <c r="C8" s="150">
        <v>0</v>
      </c>
      <c r="D8" s="832"/>
      <c r="E8" s="150">
        <v>0</v>
      </c>
      <c r="F8" s="281"/>
      <c r="G8" s="281"/>
      <c r="H8" s="281"/>
      <c r="I8" s="281"/>
      <c r="J8" s="281"/>
      <c r="K8" s="281"/>
      <c r="L8" s="281"/>
      <c r="M8" s="281"/>
      <c r="N8" s="281"/>
      <c r="O8" s="281"/>
      <c r="P8" s="281"/>
      <c r="Q8" s="281"/>
      <c r="R8" s="281"/>
      <c r="S8" s="281"/>
      <c r="T8" s="281"/>
      <c r="U8" s="281"/>
      <c r="V8" s="281"/>
      <c r="W8" s="281"/>
      <c r="X8" s="281"/>
      <c r="Y8" s="281"/>
      <c r="Z8" s="281"/>
      <c r="AA8" s="281"/>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row>
    <row r="9" spans="1:52" ht="15" customHeight="1" x14ac:dyDescent="0.2">
      <c r="A9" s="426" t="s">
        <v>185</v>
      </c>
      <c r="B9" s="37"/>
      <c r="C9" s="150">
        <v>0</v>
      </c>
      <c r="D9" s="832"/>
      <c r="E9" s="150"/>
      <c r="F9" s="281"/>
      <c r="G9" s="281"/>
      <c r="H9" s="281"/>
      <c r="I9" s="281"/>
      <c r="J9" s="281"/>
      <c r="K9" s="281"/>
      <c r="L9" s="281"/>
      <c r="M9" s="281"/>
      <c r="N9" s="281"/>
      <c r="O9" s="281"/>
      <c r="P9" s="281"/>
      <c r="Q9" s="281"/>
      <c r="R9" s="281"/>
      <c r="S9" s="281"/>
      <c r="T9" s="281"/>
      <c r="U9" s="281"/>
      <c r="V9" s="281"/>
      <c r="W9" s="281"/>
      <c r="X9" s="281"/>
      <c r="Y9" s="281"/>
      <c r="Z9" s="281"/>
      <c r="AA9" s="281"/>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row>
    <row r="10" spans="1:52" ht="15" customHeight="1" x14ac:dyDescent="0.2">
      <c r="A10" s="37" t="s">
        <v>1036</v>
      </c>
      <c r="B10" s="37"/>
      <c r="C10" s="150">
        <v>0</v>
      </c>
      <c r="D10" s="832"/>
      <c r="E10" s="150"/>
      <c r="F10" s="281"/>
      <c r="G10" s="281"/>
      <c r="H10" s="281"/>
      <c r="I10" s="281"/>
      <c r="J10" s="281"/>
      <c r="K10" s="281"/>
      <c r="L10" s="281"/>
      <c r="M10" s="281"/>
      <c r="N10" s="281"/>
      <c r="O10" s="281"/>
      <c r="P10" s="281"/>
      <c r="Q10" s="281"/>
      <c r="R10" s="281"/>
      <c r="S10" s="281"/>
      <c r="T10" s="281"/>
      <c r="U10" s="281"/>
      <c r="V10" s="281"/>
      <c r="W10" s="281"/>
      <c r="X10" s="281"/>
      <c r="Y10" s="281"/>
      <c r="Z10" s="281"/>
      <c r="AA10" s="281"/>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row>
    <row r="11" spans="1:52" ht="15" customHeight="1" x14ac:dyDescent="0.2">
      <c r="A11" s="37" t="s">
        <v>1036</v>
      </c>
      <c r="B11" s="37"/>
      <c r="C11" s="150">
        <v>0</v>
      </c>
      <c r="D11" s="832"/>
      <c r="E11" s="150"/>
      <c r="F11" s="281"/>
      <c r="G11" s="281"/>
      <c r="H11" s="281"/>
      <c r="I11" s="281"/>
      <c r="J11" s="281"/>
      <c r="K11" s="281"/>
      <c r="L11" s="281"/>
      <c r="M11" s="281"/>
      <c r="N11" s="281"/>
      <c r="O11" s="281"/>
      <c r="P11" s="281"/>
      <c r="Q11" s="281"/>
      <c r="R11" s="281"/>
      <c r="S11" s="281"/>
      <c r="T11" s="281"/>
      <c r="U11" s="281"/>
      <c r="V11" s="281"/>
      <c r="W11" s="281"/>
      <c r="X11" s="281"/>
      <c r="Y11" s="281"/>
      <c r="Z11" s="281"/>
      <c r="AA11" s="281"/>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6"/>
      <c r="AZ11" s="666"/>
    </row>
    <row r="12" spans="1:52" ht="15" customHeight="1" x14ac:dyDescent="0.2">
      <c r="A12" s="426" t="s">
        <v>1037</v>
      </c>
      <c r="B12" s="37"/>
      <c r="C12" s="150">
        <v>0</v>
      </c>
      <c r="D12" s="832"/>
      <c r="E12" s="150">
        <v>0</v>
      </c>
      <c r="F12" s="281"/>
      <c r="G12" s="281"/>
      <c r="H12" s="281"/>
      <c r="I12" s="281"/>
      <c r="J12" s="281"/>
      <c r="K12" s="281"/>
      <c r="L12" s="281"/>
      <c r="M12" s="281"/>
      <c r="N12" s="281"/>
      <c r="O12" s="281"/>
      <c r="P12" s="281"/>
      <c r="Q12" s="281"/>
      <c r="R12" s="281"/>
      <c r="S12" s="281"/>
      <c r="T12" s="281"/>
      <c r="U12" s="281"/>
      <c r="V12" s="281"/>
      <c r="W12" s="281"/>
      <c r="X12" s="281"/>
      <c r="Y12" s="281"/>
      <c r="Z12" s="281"/>
      <c r="AA12" s="281"/>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row>
    <row r="13" spans="1:52" ht="15" customHeight="1" x14ac:dyDescent="0.2">
      <c r="A13" s="400"/>
      <c r="B13" s="832"/>
      <c r="C13" s="832"/>
      <c r="D13" s="832"/>
      <c r="E13" s="847"/>
      <c r="F13" s="281"/>
      <c r="G13" s="281"/>
      <c r="H13" s="281"/>
      <c r="I13" s="281"/>
      <c r="J13" s="281"/>
      <c r="K13" s="281"/>
      <c r="L13" s="281"/>
      <c r="M13" s="281"/>
      <c r="N13" s="281"/>
      <c r="O13" s="281"/>
      <c r="P13" s="281"/>
      <c r="Q13" s="281"/>
      <c r="R13" s="281"/>
      <c r="S13" s="281"/>
      <c r="T13" s="281"/>
      <c r="U13" s="281"/>
      <c r="V13" s="281"/>
      <c r="W13" s="281"/>
      <c r="X13" s="281"/>
      <c r="Y13" s="281"/>
      <c r="Z13" s="281"/>
      <c r="AA13" s="281"/>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row>
    <row r="14" spans="1:52" ht="15" customHeight="1" x14ac:dyDescent="0.2">
      <c r="A14" s="848" t="s">
        <v>1039</v>
      </c>
      <c r="B14" s="832"/>
      <c r="C14" s="832"/>
      <c r="D14" s="832"/>
      <c r="E14" s="847"/>
      <c r="F14" s="281"/>
      <c r="G14" s="281"/>
      <c r="H14" s="281"/>
      <c r="I14" s="281"/>
      <c r="J14" s="281"/>
      <c r="K14" s="281"/>
      <c r="L14" s="281"/>
      <c r="M14" s="281"/>
      <c r="N14" s="281"/>
      <c r="O14" s="281"/>
      <c r="P14" s="281"/>
      <c r="Q14" s="281"/>
      <c r="R14" s="281"/>
      <c r="S14" s="281"/>
      <c r="T14" s="281"/>
      <c r="U14" s="281"/>
      <c r="V14" s="281"/>
      <c r="W14" s="281"/>
      <c r="X14" s="281"/>
      <c r="Y14" s="281"/>
      <c r="Z14" s="281"/>
      <c r="AA14" s="281"/>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row>
    <row r="15" spans="1:52" ht="15" customHeight="1" x14ac:dyDescent="0.2">
      <c r="A15" s="37" t="s">
        <v>931</v>
      </c>
      <c r="B15" s="37"/>
      <c r="C15" s="150">
        <v>0</v>
      </c>
      <c r="D15" s="832"/>
      <c r="E15" s="847"/>
      <c r="F15" s="281"/>
      <c r="G15" s="281"/>
      <c r="H15" s="281"/>
      <c r="I15" s="281"/>
      <c r="J15" s="281"/>
      <c r="K15" s="281"/>
      <c r="L15" s="281"/>
      <c r="M15" s="281"/>
      <c r="N15" s="281"/>
      <c r="O15" s="281"/>
      <c r="P15" s="281"/>
      <c r="Q15" s="281"/>
      <c r="R15" s="281"/>
      <c r="S15" s="281"/>
      <c r="T15" s="281"/>
      <c r="U15" s="281"/>
      <c r="V15" s="281"/>
      <c r="W15" s="281"/>
      <c r="X15" s="281"/>
      <c r="Y15" s="281"/>
      <c r="Z15" s="281"/>
      <c r="AA15" s="281"/>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row>
    <row r="16" spans="1:52" ht="15" customHeight="1" x14ac:dyDescent="0.2">
      <c r="A16" s="37" t="s">
        <v>1040</v>
      </c>
      <c r="B16" s="37"/>
      <c r="C16" s="150">
        <v>0</v>
      </c>
      <c r="D16" s="832"/>
      <c r="E16" s="847"/>
      <c r="F16" s="281"/>
      <c r="G16" s="281"/>
      <c r="H16" s="281"/>
      <c r="I16" s="281"/>
      <c r="J16" s="281"/>
      <c r="K16" s="281"/>
      <c r="L16" s="281"/>
      <c r="M16" s="281"/>
      <c r="N16" s="281"/>
      <c r="O16" s="281"/>
      <c r="P16" s="281"/>
      <c r="Q16" s="281"/>
      <c r="R16" s="281"/>
      <c r="S16" s="281"/>
      <c r="T16" s="281"/>
      <c r="U16" s="281"/>
      <c r="V16" s="281"/>
      <c r="W16" s="281"/>
      <c r="X16" s="281"/>
      <c r="Y16" s="281"/>
      <c r="Z16" s="281"/>
      <c r="AA16" s="281"/>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AX16" s="666"/>
      <c r="AY16" s="666"/>
      <c r="AZ16" s="666"/>
    </row>
    <row r="17" spans="1:52" ht="15" customHeight="1" x14ac:dyDescent="0.2">
      <c r="A17" s="37" t="s">
        <v>1041</v>
      </c>
      <c r="B17" s="37"/>
      <c r="C17" s="150">
        <v>0</v>
      </c>
      <c r="D17" s="832"/>
      <c r="E17" s="847"/>
      <c r="F17" s="281"/>
      <c r="G17" s="281"/>
      <c r="H17" s="281"/>
      <c r="I17" s="281"/>
      <c r="J17" s="281"/>
      <c r="K17" s="281"/>
      <c r="L17" s="281"/>
      <c r="M17" s="281"/>
      <c r="N17" s="281"/>
      <c r="O17" s="281"/>
      <c r="P17" s="281"/>
      <c r="Q17" s="281"/>
      <c r="R17" s="281"/>
      <c r="S17" s="281"/>
      <c r="T17" s="281"/>
      <c r="U17" s="281"/>
      <c r="V17" s="281"/>
      <c r="W17" s="281"/>
      <c r="X17" s="281"/>
      <c r="Y17" s="281"/>
      <c r="Z17" s="281"/>
      <c r="AA17" s="281"/>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6"/>
      <c r="AZ17" s="666"/>
    </row>
    <row r="18" spans="1:52" ht="15" customHeight="1" x14ac:dyDescent="0.2">
      <c r="A18" s="281"/>
      <c r="B18" s="281"/>
      <c r="C18" s="831"/>
      <c r="D18" s="832"/>
      <c r="E18" s="847"/>
      <c r="F18" s="281"/>
      <c r="G18" s="281"/>
      <c r="H18" s="281"/>
      <c r="I18" s="281"/>
      <c r="J18" s="281"/>
      <c r="K18" s="281"/>
      <c r="L18" s="281"/>
      <c r="M18" s="281"/>
      <c r="N18" s="281"/>
      <c r="O18" s="281"/>
      <c r="P18" s="281"/>
      <c r="Q18" s="281"/>
      <c r="R18" s="281"/>
      <c r="S18" s="281"/>
      <c r="T18" s="281"/>
      <c r="U18" s="281"/>
      <c r="V18" s="281"/>
      <c r="W18" s="281"/>
      <c r="X18" s="281"/>
      <c r="Y18" s="281"/>
      <c r="Z18" s="281"/>
      <c r="AA18" s="281"/>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row>
    <row r="19" spans="1:52" ht="15" customHeight="1" x14ac:dyDescent="0.2">
      <c r="A19" s="849" t="s">
        <v>1043</v>
      </c>
      <c r="B19" s="281"/>
      <c r="C19" s="831"/>
      <c r="D19" s="832"/>
      <c r="E19" s="831"/>
      <c r="F19" s="281"/>
      <c r="G19" s="281"/>
      <c r="H19" s="281"/>
      <c r="I19" s="281"/>
      <c r="J19" s="281"/>
      <c r="K19" s="281"/>
      <c r="L19" s="281"/>
      <c r="M19" s="281"/>
      <c r="N19" s="281"/>
      <c r="O19" s="281"/>
      <c r="P19" s="281"/>
      <c r="Q19" s="281"/>
      <c r="R19" s="281"/>
      <c r="S19" s="281"/>
      <c r="T19" s="281"/>
      <c r="U19" s="281"/>
      <c r="V19" s="281"/>
      <c r="W19" s="281"/>
      <c r="X19" s="281"/>
      <c r="Y19" s="281"/>
      <c r="Z19" s="281"/>
      <c r="AA19" s="281"/>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666"/>
      <c r="AZ19" s="666"/>
    </row>
    <row r="20" spans="1:52" ht="15" customHeight="1" x14ac:dyDescent="0.2">
      <c r="A20" s="848" t="s">
        <v>742</v>
      </c>
      <c r="B20" s="281"/>
      <c r="C20" s="831"/>
      <c r="D20" s="832"/>
      <c r="E20" s="831"/>
      <c r="F20" s="281"/>
      <c r="G20" s="281"/>
      <c r="H20" s="281"/>
      <c r="I20" s="281"/>
      <c r="J20" s="281"/>
      <c r="K20" s="281"/>
      <c r="L20" s="281"/>
      <c r="M20" s="281"/>
      <c r="N20" s="281"/>
      <c r="O20" s="281"/>
      <c r="P20" s="281"/>
      <c r="Q20" s="281"/>
      <c r="R20" s="281"/>
      <c r="S20" s="281"/>
      <c r="T20" s="281"/>
      <c r="U20" s="281"/>
      <c r="V20" s="281"/>
      <c r="W20" s="281"/>
      <c r="X20" s="281"/>
      <c r="Y20" s="281"/>
      <c r="Z20" s="281"/>
      <c r="AA20" s="281"/>
      <c r="AB20" s="666"/>
      <c r="AC20" s="666"/>
      <c r="AD20" s="666"/>
      <c r="AE20" s="666"/>
      <c r="AF20" s="666"/>
      <c r="AG20" s="666"/>
      <c r="AH20" s="666"/>
      <c r="AI20" s="666"/>
      <c r="AJ20" s="666"/>
      <c r="AK20" s="666"/>
      <c r="AL20" s="666"/>
      <c r="AM20" s="666"/>
      <c r="AN20" s="666"/>
      <c r="AO20" s="666"/>
      <c r="AP20" s="666"/>
      <c r="AQ20" s="666"/>
      <c r="AR20" s="666"/>
      <c r="AS20" s="666"/>
      <c r="AT20" s="666"/>
      <c r="AU20" s="666"/>
      <c r="AV20" s="666"/>
      <c r="AW20" s="666"/>
      <c r="AX20" s="666"/>
      <c r="AY20" s="666"/>
      <c r="AZ20" s="666"/>
    </row>
    <row r="21" spans="1:52" ht="15" customHeight="1" x14ac:dyDescent="0.2">
      <c r="A21" s="830" t="s">
        <v>35</v>
      </c>
      <c r="B21" s="37"/>
      <c r="C21" s="843">
        <f>IF('Kalkulation Herstellungskosten'!AJ14=TRUE,'Kalkulation Herstellungskosten'!G14,0)</f>
        <v>0</v>
      </c>
      <c r="D21" s="832"/>
      <c r="E21" s="150">
        <v>0</v>
      </c>
      <c r="F21" s="281"/>
      <c r="G21" s="281"/>
      <c r="H21" s="281"/>
      <c r="I21" s="281"/>
      <c r="J21" s="281"/>
      <c r="K21" s="281"/>
      <c r="L21" s="281"/>
      <c r="M21" s="281"/>
      <c r="N21" s="281"/>
      <c r="O21" s="281"/>
      <c r="P21" s="281"/>
      <c r="Q21" s="281"/>
      <c r="R21" s="281"/>
      <c r="S21" s="281"/>
      <c r="T21" s="281"/>
      <c r="U21" s="281"/>
      <c r="V21" s="281"/>
      <c r="W21" s="281"/>
      <c r="X21" s="281"/>
      <c r="Y21" s="281"/>
      <c r="Z21" s="281"/>
      <c r="AA21" s="281"/>
      <c r="AB21" s="666"/>
      <c r="AC21" s="666"/>
      <c r="AD21" s="666"/>
      <c r="AE21" s="666"/>
      <c r="AF21" s="666"/>
      <c r="AG21" s="666"/>
      <c r="AH21" s="666"/>
      <c r="AI21" s="666"/>
      <c r="AJ21" s="666"/>
      <c r="AK21" s="666"/>
      <c r="AL21" s="666"/>
      <c r="AM21" s="666"/>
      <c r="AN21" s="666"/>
      <c r="AO21" s="666"/>
      <c r="AP21" s="666"/>
      <c r="AQ21" s="666"/>
      <c r="AR21" s="666"/>
      <c r="AS21" s="666"/>
      <c r="AT21" s="666"/>
      <c r="AU21" s="666"/>
      <c r="AV21" s="666"/>
      <c r="AW21" s="666"/>
      <c r="AX21" s="666"/>
      <c r="AY21" s="666"/>
      <c r="AZ21" s="666"/>
    </row>
    <row r="22" spans="1:52" ht="15" customHeight="1" x14ac:dyDescent="0.2">
      <c r="A22" s="37" t="s">
        <v>686</v>
      </c>
      <c r="B22" s="37"/>
      <c r="C22" s="158">
        <v>0</v>
      </c>
      <c r="D22" s="832"/>
      <c r="E22" s="150">
        <v>0</v>
      </c>
      <c r="F22" s="281"/>
      <c r="G22" s="281"/>
      <c r="H22" s="281"/>
      <c r="I22" s="281"/>
      <c r="J22" s="281"/>
      <c r="K22" s="281"/>
      <c r="L22" s="281"/>
      <c r="M22" s="281"/>
      <c r="N22" s="281"/>
      <c r="O22" s="281"/>
      <c r="P22" s="281"/>
      <c r="Q22" s="281"/>
      <c r="R22" s="281"/>
      <c r="S22" s="281"/>
      <c r="T22" s="281"/>
      <c r="U22" s="281"/>
      <c r="V22" s="281"/>
      <c r="W22" s="281"/>
      <c r="X22" s="281"/>
      <c r="Y22" s="281"/>
      <c r="Z22" s="281"/>
      <c r="AA22" s="281"/>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row>
    <row r="23" spans="1:52" ht="15" customHeight="1" x14ac:dyDescent="0.2">
      <c r="A23" s="411"/>
      <c r="B23" s="411"/>
      <c r="C23" s="1069"/>
      <c r="D23" s="832"/>
      <c r="E23" s="834"/>
      <c r="F23" s="281"/>
      <c r="G23" s="281"/>
      <c r="H23" s="281"/>
      <c r="I23" s="281"/>
      <c r="J23" s="281"/>
      <c r="K23" s="281"/>
      <c r="L23" s="281"/>
      <c r="M23" s="281"/>
      <c r="N23" s="281"/>
      <c r="O23" s="281"/>
      <c r="P23" s="281"/>
      <c r="Q23" s="281"/>
      <c r="R23" s="281"/>
      <c r="S23" s="281"/>
      <c r="T23" s="281"/>
      <c r="U23" s="281"/>
      <c r="V23" s="281"/>
      <c r="W23" s="281"/>
      <c r="X23" s="281"/>
      <c r="Y23" s="281"/>
      <c r="Z23" s="281"/>
      <c r="AA23" s="281"/>
      <c r="AB23" s="666"/>
      <c r="AC23" s="666"/>
      <c r="AD23" s="666"/>
      <c r="AE23" s="666"/>
      <c r="AF23" s="666"/>
      <c r="AG23" s="666"/>
      <c r="AH23" s="666"/>
      <c r="AI23" s="666"/>
      <c r="AJ23" s="666"/>
      <c r="AK23" s="666"/>
      <c r="AL23" s="666"/>
      <c r="AM23" s="666"/>
      <c r="AN23" s="666"/>
      <c r="AO23" s="666"/>
      <c r="AP23" s="666"/>
      <c r="AQ23" s="666"/>
      <c r="AR23" s="666"/>
      <c r="AS23" s="666"/>
      <c r="AT23" s="666"/>
      <c r="AU23" s="666"/>
      <c r="AV23" s="666"/>
      <c r="AW23" s="666"/>
      <c r="AX23" s="666"/>
      <c r="AY23" s="666"/>
      <c r="AZ23" s="666"/>
    </row>
    <row r="24" spans="1:52" ht="15" customHeight="1" x14ac:dyDescent="0.2">
      <c r="A24" s="848" t="s">
        <v>1038</v>
      </c>
      <c r="B24" s="281" t="s">
        <v>731</v>
      </c>
      <c r="C24" s="844"/>
      <c r="D24" s="832"/>
      <c r="E24" s="831"/>
      <c r="F24" s="281"/>
      <c r="G24" s="281"/>
      <c r="H24" s="281"/>
      <c r="I24" s="281"/>
      <c r="J24" s="281"/>
      <c r="K24" s="281"/>
      <c r="L24" s="281"/>
      <c r="M24" s="281"/>
      <c r="N24" s="281"/>
      <c r="O24" s="281"/>
      <c r="P24" s="281"/>
      <c r="Q24" s="281"/>
      <c r="R24" s="281"/>
      <c r="S24" s="281"/>
      <c r="T24" s="281"/>
      <c r="U24" s="281"/>
      <c r="V24" s="281"/>
      <c r="W24" s="281"/>
      <c r="X24" s="281"/>
      <c r="Y24" s="281"/>
      <c r="Z24" s="281"/>
      <c r="AA24" s="281"/>
      <c r="AB24" s="666"/>
      <c r="AC24" s="666"/>
      <c r="AD24" s="666"/>
      <c r="AE24" s="666"/>
      <c r="AF24" s="666"/>
      <c r="AG24" s="666"/>
      <c r="AH24" s="666"/>
      <c r="AI24" s="666"/>
      <c r="AJ24" s="666"/>
      <c r="AK24" s="666"/>
      <c r="AL24" s="666"/>
      <c r="AM24" s="666"/>
      <c r="AN24" s="666"/>
      <c r="AO24" s="666"/>
      <c r="AP24" s="666"/>
      <c r="AQ24" s="666"/>
      <c r="AR24" s="666"/>
      <c r="AS24" s="666"/>
      <c r="AT24" s="666"/>
      <c r="AU24" s="666"/>
      <c r="AV24" s="666"/>
      <c r="AW24" s="666"/>
      <c r="AX24" s="666"/>
      <c r="AY24" s="666"/>
      <c r="AZ24" s="666"/>
    </row>
    <row r="25" spans="1:52" ht="15" customHeight="1" x14ac:dyDescent="0.2">
      <c r="A25" s="830" t="s">
        <v>143</v>
      </c>
      <c r="B25" s="37"/>
      <c r="C25" s="843">
        <f>IF('Kalkulation Herstellungskosten'!AJ45=TRUE,'Kalkulation Herstellungskosten'!G45,0)</f>
        <v>0</v>
      </c>
      <c r="D25" s="833">
        <f>IF(C25&gt;0,Stab_Ö_Lohnnebenkosten!V13,0)</f>
        <v>0</v>
      </c>
      <c r="E25" s="150">
        <v>0</v>
      </c>
      <c r="F25" s="281"/>
      <c r="G25" s="281"/>
      <c r="H25" s="281"/>
      <c r="I25" s="281"/>
      <c r="J25" s="281"/>
      <c r="K25" s="281"/>
      <c r="L25" s="281"/>
      <c r="M25" s="281"/>
      <c r="N25" s="281"/>
      <c r="O25" s="281"/>
      <c r="P25" s="281"/>
      <c r="Q25" s="281"/>
      <c r="R25" s="281"/>
      <c r="S25" s="281"/>
      <c r="T25" s="281"/>
      <c r="U25" s="281"/>
      <c r="V25" s="281"/>
      <c r="W25" s="281"/>
      <c r="X25" s="281"/>
      <c r="Y25" s="281"/>
      <c r="Z25" s="281"/>
      <c r="AA25" s="281"/>
      <c r="AB25" s="666"/>
      <c r="AC25" s="666"/>
      <c r="AD25" s="666"/>
      <c r="AE25" s="666"/>
      <c r="AF25" s="666"/>
      <c r="AG25" s="666"/>
      <c r="AH25" s="666"/>
      <c r="AI25" s="666"/>
      <c r="AJ25" s="666"/>
      <c r="AK25" s="666"/>
      <c r="AL25" s="666"/>
      <c r="AM25" s="666"/>
      <c r="AN25" s="666"/>
      <c r="AO25" s="666"/>
      <c r="AP25" s="666"/>
      <c r="AQ25" s="666"/>
      <c r="AR25" s="666"/>
      <c r="AS25" s="666"/>
      <c r="AT25" s="666"/>
      <c r="AU25" s="666"/>
      <c r="AV25" s="666"/>
      <c r="AW25" s="666"/>
      <c r="AX25" s="666"/>
      <c r="AY25" s="666"/>
      <c r="AZ25" s="666"/>
    </row>
    <row r="26" spans="1:52" ht="15" customHeight="1" x14ac:dyDescent="0.2">
      <c r="A26" s="835" t="s">
        <v>732</v>
      </c>
      <c r="B26" s="37"/>
      <c r="C26" s="843">
        <f>IF('Kalkulation Herstellungskosten'!AJ30=TRUE,'Kalkulation Herstellungskosten'!G29,0)</f>
        <v>0</v>
      </c>
      <c r="D26" s="833">
        <f>IF(C26&gt;0,Stab_Ö_Lohnnebenkosten!V5,0)</f>
        <v>0</v>
      </c>
      <c r="E26" s="150">
        <v>0</v>
      </c>
      <c r="F26" s="281"/>
      <c r="G26" s="281"/>
      <c r="H26" s="281"/>
      <c r="I26" s="281"/>
      <c r="J26" s="281"/>
      <c r="K26" s="281"/>
      <c r="L26" s="281"/>
      <c r="M26" s="281"/>
      <c r="N26" s="281"/>
      <c r="O26" s="281"/>
      <c r="P26" s="281"/>
      <c r="Q26" s="281"/>
      <c r="R26" s="281"/>
      <c r="S26" s="281"/>
      <c r="T26" s="281"/>
      <c r="U26" s="281"/>
      <c r="V26" s="281"/>
      <c r="W26" s="281"/>
      <c r="X26" s="281"/>
      <c r="Y26" s="281"/>
      <c r="Z26" s="281"/>
      <c r="AA26" s="281"/>
      <c r="AB26" s="666"/>
      <c r="AC26" s="666"/>
      <c r="AD26" s="666"/>
      <c r="AE26" s="666"/>
      <c r="AF26" s="666"/>
      <c r="AG26" s="666"/>
      <c r="AH26" s="666"/>
      <c r="AI26" s="666"/>
      <c r="AJ26" s="666"/>
      <c r="AK26" s="666"/>
      <c r="AL26" s="666"/>
      <c r="AM26" s="666"/>
      <c r="AN26" s="666"/>
      <c r="AO26" s="666"/>
      <c r="AP26" s="666"/>
      <c r="AQ26" s="666"/>
      <c r="AR26" s="666"/>
      <c r="AS26" s="666"/>
      <c r="AT26" s="666"/>
      <c r="AU26" s="666"/>
      <c r="AV26" s="666"/>
      <c r="AW26" s="666"/>
      <c r="AX26" s="666"/>
      <c r="AY26" s="666"/>
      <c r="AZ26" s="666"/>
    </row>
    <row r="27" spans="1:52" ht="15" customHeight="1" x14ac:dyDescent="0.2">
      <c r="A27" s="835" t="s">
        <v>733</v>
      </c>
      <c r="B27" s="37"/>
      <c r="C27" s="843">
        <f>IF('Kalkulation Herstellungskosten'!AJ32=TRUE,'Kalkulation Herstellungskosten'!G31,0)</f>
        <v>0</v>
      </c>
      <c r="D27" s="833">
        <f>IF(C27&gt;0,Stab_Ö_Lohnnebenkosten!V6,0)</f>
        <v>0</v>
      </c>
      <c r="E27" s="150">
        <v>0</v>
      </c>
      <c r="F27" s="281"/>
      <c r="G27" s="281"/>
      <c r="H27" s="281"/>
      <c r="I27" s="281"/>
      <c r="J27" s="281"/>
      <c r="K27" s="281"/>
      <c r="L27" s="281"/>
      <c r="M27" s="281"/>
      <c r="N27" s="281"/>
      <c r="O27" s="281"/>
      <c r="P27" s="281"/>
      <c r="Q27" s="281"/>
      <c r="R27" s="281"/>
      <c r="S27" s="281"/>
      <c r="T27" s="281"/>
      <c r="U27" s="281"/>
      <c r="V27" s="281"/>
      <c r="W27" s="281"/>
      <c r="X27" s="281"/>
      <c r="Y27" s="281"/>
      <c r="Z27" s="281"/>
      <c r="AA27" s="281"/>
      <c r="AB27" s="666"/>
      <c r="AC27" s="666"/>
      <c r="AD27" s="666"/>
      <c r="AE27" s="666"/>
      <c r="AF27" s="666"/>
      <c r="AG27" s="666"/>
      <c r="AH27" s="666"/>
      <c r="AI27" s="666"/>
      <c r="AJ27" s="666"/>
      <c r="AK27" s="666"/>
      <c r="AL27" s="666"/>
      <c r="AM27" s="666"/>
      <c r="AN27" s="666"/>
      <c r="AO27" s="666"/>
      <c r="AP27" s="666"/>
      <c r="AQ27" s="666"/>
      <c r="AR27" s="666"/>
      <c r="AS27" s="666"/>
      <c r="AT27" s="666"/>
      <c r="AU27" s="666"/>
      <c r="AV27" s="666"/>
      <c r="AW27" s="666"/>
      <c r="AX27" s="666"/>
      <c r="AY27" s="666"/>
      <c r="AZ27" s="666"/>
    </row>
    <row r="28" spans="1:52" ht="15" customHeight="1" x14ac:dyDescent="0.2">
      <c r="A28" s="835" t="s">
        <v>610</v>
      </c>
      <c r="B28" s="37"/>
      <c r="C28" s="843">
        <f>IF('Kalkulation Herstellungskosten'!AJ38=TRUE,'Kalkulation Herstellungskosten'!G37,0)</f>
        <v>0</v>
      </c>
      <c r="D28" s="833">
        <f>IF(C28&gt;0,Stab_Ö_Lohnnebenkosten!V9,0)</f>
        <v>0</v>
      </c>
      <c r="E28" s="150">
        <v>0</v>
      </c>
      <c r="F28" s="281"/>
      <c r="G28" s="281"/>
      <c r="H28" s="281"/>
      <c r="I28" s="281"/>
      <c r="J28" s="281"/>
      <c r="K28" s="281"/>
      <c r="L28" s="281"/>
      <c r="M28" s="281"/>
      <c r="N28" s="281"/>
      <c r="O28" s="281"/>
      <c r="P28" s="281"/>
      <c r="Q28" s="281"/>
      <c r="R28" s="281"/>
      <c r="S28" s="281"/>
      <c r="T28" s="281"/>
      <c r="U28" s="281"/>
      <c r="V28" s="281"/>
      <c r="W28" s="281"/>
      <c r="X28" s="281"/>
      <c r="Y28" s="281"/>
      <c r="Z28" s="281"/>
      <c r="AA28" s="281"/>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row>
    <row r="29" spans="1:52" ht="15" customHeight="1" x14ac:dyDescent="0.2">
      <c r="A29" s="835" t="s">
        <v>606</v>
      </c>
      <c r="B29" s="37"/>
      <c r="C29" s="843">
        <f>IF('Kalkulation Herstellungskosten'!AJ42=TRUE,'Kalkulation Herstellungskosten'!G41,0)</f>
        <v>0</v>
      </c>
      <c r="D29" s="833">
        <f>IF(C29&gt;0,Stab_Ö_Lohnnebenkosten!V11,0)</f>
        <v>0</v>
      </c>
      <c r="E29" s="150">
        <v>0</v>
      </c>
      <c r="F29" s="281"/>
      <c r="G29" s="281"/>
      <c r="H29" s="281"/>
      <c r="I29" s="281"/>
      <c r="J29" s="281"/>
      <c r="K29" s="281"/>
      <c r="L29" s="281"/>
      <c r="M29" s="281"/>
      <c r="N29" s="281"/>
      <c r="O29" s="281"/>
      <c r="P29" s="281"/>
      <c r="Q29" s="281"/>
      <c r="R29" s="281"/>
      <c r="S29" s="281"/>
      <c r="T29" s="281"/>
      <c r="U29" s="281"/>
      <c r="V29" s="281"/>
      <c r="W29" s="281"/>
      <c r="X29" s="281"/>
      <c r="Y29" s="281"/>
      <c r="Z29" s="281"/>
      <c r="AA29" s="281"/>
      <c r="AB29" s="666"/>
      <c r="AC29" s="666"/>
      <c r="AD29" s="666"/>
      <c r="AE29" s="666"/>
      <c r="AF29" s="666"/>
      <c r="AG29" s="666"/>
      <c r="AH29" s="666"/>
      <c r="AI29" s="666"/>
      <c r="AJ29" s="666"/>
      <c r="AK29" s="666"/>
      <c r="AL29" s="666"/>
      <c r="AM29" s="666"/>
      <c r="AN29" s="666"/>
      <c r="AO29" s="666"/>
      <c r="AP29" s="666"/>
      <c r="AQ29" s="666"/>
      <c r="AR29" s="666"/>
      <c r="AS29" s="666"/>
      <c r="AT29" s="666"/>
      <c r="AU29" s="666"/>
      <c r="AV29" s="666"/>
      <c r="AW29" s="666"/>
      <c r="AX29" s="666"/>
      <c r="AY29" s="666"/>
      <c r="AZ29" s="666"/>
    </row>
    <row r="30" spans="1:52" ht="15" customHeight="1" x14ac:dyDescent="0.2">
      <c r="A30" s="835" t="s">
        <v>185</v>
      </c>
      <c r="B30" s="37"/>
      <c r="C30" s="843">
        <f>IF('Kalkulation Herstellungskosten'!AJ44=TRUE,'Kalkulation Herstellungskosten'!G43,0)</f>
        <v>0</v>
      </c>
      <c r="D30" s="833">
        <f>IF(C30&gt;0,Stab_Ö_Lohnnebenkosten!V12,0)</f>
        <v>0</v>
      </c>
      <c r="E30" s="150">
        <v>0</v>
      </c>
      <c r="F30" s="281"/>
      <c r="G30" s="281"/>
      <c r="H30" s="281"/>
      <c r="I30" s="281"/>
      <c r="J30" s="281"/>
      <c r="K30" s="281"/>
      <c r="L30" s="281"/>
      <c r="M30" s="281"/>
      <c r="N30" s="281"/>
      <c r="O30" s="281"/>
      <c r="P30" s="281"/>
      <c r="Q30" s="281"/>
      <c r="R30" s="281"/>
      <c r="S30" s="281"/>
      <c r="T30" s="281"/>
      <c r="U30" s="281"/>
      <c r="V30" s="281"/>
      <c r="W30" s="281"/>
      <c r="X30" s="281"/>
      <c r="Y30" s="281"/>
      <c r="Z30" s="281"/>
      <c r="AA30" s="281"/>
      <c r="AB30" s="666"/>
      <c r="AC30" s="666"/>
      <c r="AD30" s="666"/>
      <c r="AE30" s="666"/>
      <c r="AF30" s="666"/>
      <c r="AG30" s="666"/>
      <c r="AH30" s="666"/>
      <c r="AI30" s="666"/>
      <c r="AJ30" s="666"/>
      <c r="AK30" s="666"/>
      <c r="AL30" s="666"/>
      <c r="AM30" s="666"/>
      <c r="AN30" s="666"/>
      <c r="AO30" s="666"/>
      <c r="AP30" s="666"/>
      <c r="AQ30" s="666"/>
      <c r="AR30" s="666"/>
      <c r="AS30" s="666"/>
      <c r="AT30" s="666"/>
      <c r="AU30" s="666"/>
      <c r="AV30" s="666"/>
      <c r="AW30" s="666"/>
      <c r="AX30" s="666"/>
      <c r="AY30" s="666"/>
      <c r="AZ30" s="666"/>
    </row>
    <row r="31" spans="1:52" ht="15" customHeight="1" x14ac:dyDescent="0.2">
      <c r="A31" s="835" t="s">
        <v>611</v>
      </c>
      <c r="B31" s="37"/>
      <c r="C31" s="843">
        <f>IF('Kalkulation Herstellungskosten'!AJ40=TRUE,'Kalkulation Herstellungskosten'!G39,0)</f>
        <v>0</v>
      </c>
      <c r="D31" s="833">
        <f>IF(C31&gt;0,Stab_Ö_Lohnnebenkosten!V10,0)</f>
        <v>0</v>
      </c>
      <c r="E31" s="150">
        <v>0</v>
      </c>
      <c r="F31" s="281"/>
      <c r="G31" s="281"/>
      <c r="H31" s="281"/>
      <c r="I31" s="281"/>
      <c r="J31" s="281"/>
      <c r="K31" s="281"/>
      <c r="L31" s="281"/>
      <c r="M31" s="281"/>
      <c r="N31" s="281"/>
      <c r="O31" s="281"/>
      <c r="P31" s="281"/>
      <c r="Q31" s="281"/>
      <c r="R31" s="281"/>
      <c r="S31" s="281"/>
      <c r="T31" s="281"/>
      <c r="U31" s="281"/>
      <c r="V31" s="281"/>
      <c r="W31" s="281"/>
      <c r="X31" s="281"/>
      <c r="Y31" s="281"/>
      <c r="Z31" s="281"/>
      <c r="AA31" s="281"/>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row>
    <row r="32" spans="1:52" ht="15" customHeight="1" x14ac:dyDescent="0.2">
      <c r="A32" s="37" t="s">
        <v>200</v>
      </c>
      <c r="B32" s="37"/>
      <c r="C32" s="150">
        <v>0</v>
      </c>
      <c r="D32" s="159">
        <v>0</v>
      </c>
      <c r="E32" s="150">
        <v>0</v>
      </c>
      <c r="F32" s="281"/>
      <c r="G32" s="281"/>
      <c r="H32" s="281"/>
      <c r="I32" s="281"/>
      <c r="J32" s="281"/>
      <c r="K32" s="281"/>
      <c r="L32" s="281"/>
      <c r="M32" s="281"/>
      <c r="N32" s="281"/>
      <c r="O32" s="281"/>
      <c r="P32" s="281"/>
      <c r="Q32" s="281"/>
      <c r="R32" s="281"/>
      <c r="S32" s="281"/>
      <c r="T32" s="281"/>
      <c r="U32" s="281"/>
      <c r="V32" s="281"/>
      <c r="W32" s="281"/>
      <c r="X32" s="281"/>
      <c r="Y32" s="281"/>
      <c r="Z32" s="281"/>
      <c r="AA32" s="281"/>
      <c r="AB32" s="666"/>
      <c r="AC32" s="666"/>
      <c r="AD32" s="666"/>
      <c r="AE32" s="666"/>
      <c r="AF32" s="666"/>
      <c r="AG32" s="666"/>
      <c r="AH32" s="666"/>
      <c r="AI32" s="666"/>
      <c r="AJ32" s="666"/>
      <c r="AK32" s="666"/>
      <c r="AL32" s="666"/>
      <c r="AM32" s="666"/>
      <c r="AN32" s="666"/>
      <c r="AO32" s="666"/>
      <c r="AP32" s="666"/>
      <c r="AQ32" s="666"/>
      <c r="AR32" s="666"/>
      <c r="AS32" s="666"/>
      <c r="AT32" s="666"/>
      <c r="AU32" s="666"/>
      <c r="AV32" s="666"/>
      <c r="AW32" s="666"/>
      <c r="AX32" s="666"/>
      <c r="AY32" s="666"/>
      <c r="AZ32" s="666"/>
    </row>
    <row r="33" spans="1:52" ht="15" customHeight="1" x14ac:dyDescent="0.2">
      <c r="A33" s="835" t="s">
        <v>734</v>
      </c>
      <c r="B33" s="835"/>
      <c r="C33" s="843">
        <f>SUM(D25:D32)</f>
        <v>0</v>
      </c>
      <c r="D33" s="831"/>
      <c r="E33" s="150">
        <v>0</v>
      </c>
      <c r="F33" s="281"/>
      <c r="G33" s="281"/>
      <c r="H33" s="281"/>
      <c r="I33" s="281"/>
      <c r="J33" s="281"/>
      <c r="K33" s="281"/>
      <c r="L33" s="281"/>
      <c r="M33" s="281"/>
      <c r="N33" s="281"/>
      <c r="O33" s="281"/>
      <c r="P33" s="281"/>
      <c r="Q33" s="281"/>
      <c r="R33" s="281"/>
      <c r="S33" s="281"/>
      <c r="T33" s="281"/>
      <c r="U33" s="281"/>
      <c r="V33" s="281"/>
      <c r="W33" s="281"/>
      <c r="X33" s="281"/>
      <c r="Y33" s="281"/>
      <c r="Z33" s="281"/>
      <c r="AA33" s="281"/>
      <c r="AB33" s="666"/>
      <c r="AC33" s="666"/>
      <c r="AD33" s="666"/>
      <c r="AE33" s="666"/>
      <c r="AF33" s="666"/>
      <c r="AG33" s="666"/>
      <c r="AH33" s="666"/>
      <c r="AI33" s="666"/>
      <c r="AJ33" s="666"/>
      <c r="AK33" s="666"/>
      <c r="AL33" s="666"/>
      <c r="AM33" s="666"/>
      <c r="AN33" s="666"/>
      <c r="AO33" s="666"/>
      <c r="AP33" s="666"/>
      <c r="AQ33" s="666"/>
      <c r="AR33" s="666"/>
      <c r="AS33" s="666"/>
      <c r="AT33" s="666"/>
      <c r="AU33" s="666"/>
      <c r="AV33" s="666"/>
      <c r="AW33" s="666"/>
      <c r="AX33" s="666"/>
      <c r="AY33" s="666"/>
      <c r="AZ33" s="666"/>
    </row>
    <row r="34" spans="1:52" x14ac:dyDescent="0.2">
      <c r="A34" s="281"/>
      <c r="B34" s="281"/>
      <c r="C34" s="831"/>
      <c r="D34" s="831"/>
      <c r="E34" s="831"/>
      <c r="F34" s="281"/>
      <c r="G34" s="281"/>
      <c r="H34" s="281"/>
      <c r="I34" s="281"/>
      <c r="J34" s="281"/>
      <c r="K34" s="281"/>
      <c r="L34" s="281"/>
      <c r="M34" s="281"/>
      <c r="N34" s="281"/>
      <c r="O34" s="281"/>
      <c r="P34" s="281"/>
      <c r="Q34" s="281"/>
      <c r="R34" s="281"/>
      <c r="S34" s="281"/>
      <c r="T34" s="281"/>
      <c r="U34" s="281"/>
      <c r="V34" s="281"/>
      <c r="W34" s="281"/>
      <c r="X34" s="281"/>
      <c r="Y34" s="281"/>
      <c r="Z34" s="281"/>
      <c r="AA34" s="281"/>
      <c r="AB34" s="666"/>
      <c r="AC34" s="666"/>
      <c r="AD34" s="666"/>
      <c r="AE34" s="666"/>
      <c r="AF34" s="666"/>
      <c r="AG34" s="666"/>
      <c r="AH34" s="666"/>
      <c r="AI34" s="666"/>
      <c r="AJ34" s="666"/>
      <c r="AK34" s="666"/>
      <c r="AL34" s="666"/>
      <c r="AM34" s="666"/>
      <c r="AN34" s="666"/>
      <c r="AO34" s="666"/>
      <c r="AP34" s="666"/>
      <c r="AQ34" s="666"/>
      <c r="AR34" s="666"/>
      <c r="AS34" s="666"/>
      <c r="AT34" s="666"/>
      <c r="AU34" s="666"/>
      <c r="AV34" s="666"/>
      <c r="AW34" s="666"/>
      <c r="AX34" s="666"/>
      <c r="AY34" s="666"/>
      <c r="AZ34" s="666"/>
    </row>
    <row r="35" spans="1:52" ht="15" customHeight="1" x14ac:dyDescent="0.2">
      <c r="A35" s="848" t="s">
        <v>1039</v>
      </c>
      <c r="B35" s="281" t="s">
        <v>735</v>
      </c>
      <c r="C35" s="831"/>
      <c r="D35" s="831"/>
      <c r="E35" s="831"/>
      <c r="F35" s="281"/>
      <c r="G35" s="281"/>
      <c r="H35" s="281"/>
      <c r="I35" s="281"/>
      <c r="J35" s="281"/>
      <c r="K35" s="281"/>
      <c r="L35" s="281"/>
      <c r="M35" s="281"/>
      <c r="N35" s="281"/>
      <c r="O35" s="281"/>
      <c r="P35" s="281"/>
      <c r="Q35" s="281"/>
      <c r="R35" s="281"/>
      <c r="S35" s="281"/>
      <c r="T35" s="281"/>
      <c r="U35" s="281"/>
      <c r="V35" s="281"/>
      <c r="W35" s="281"/>
      <c r="X35" s="281"/>
      <c r="Y35" s="281"/>
      <c r="Z35" s="281"/>
      <c r="AA35" s="281"/>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row>
    <row r="36" spans="1:52" ht="15" customHeight="1" x14ac:dyDescent="0.2">
      <c r="A36" s="835" t="s">
        <v>204</v>
      </c>
      <c r="B36" s="37"/>
      <c r="C36" s="158">
        <f>IF('Kalkulation Herstellungskosten'!AJ292=TRUE,'Kalkulation Herstellungskosten'!G292,0)</f>
        <v>0</v>
      </c>
      <c r="D36" s="831"/>
      <c r="E36" s="150">
        <v>0</v>
      </c>
      <c r="F36" s="281"/>
      <c r="G36" s="281"/>
      <c r="H36" s="281"/>
      <c r="I36" s="281"/>
      <c r="J36" s="281"/>
      <c r="K36" s="281"/>
      <c r="L36" s="281"/>
      <c r="M36" s="281"/>
      <c r="N36" s="281"/>
      <c r="O36" s="281"/>
      <c r="P36" s="281"/>
      <c r="Q36" s="281"/>
      <c r="R36" s="281"/>
      <c r="S36" s="281"/>
      <c r="T36" s="281"/>
      <c r="U36" s="281"/>
      <c r="V36" s="281"/>
      <c r="W36" s="281"/>
      <c r="X36" s="281"/>
      <c r="Y36" s="281"/>
      <c r="Z36" s="281"/>
      <c r="AA36" s="281"/>
      <c r="AB36" s="666"/>
      <c r="AC36" s="666"/>
      <c r="AD36" s="666"/>
      <c r="AE36" s="666"/>
      <c r="AF36" s="666"/>
      <c r="AG36" s="666"/>
      <c r="AH36" s="666"/>
      <c r="AI36" s="666"/>
      <c r="AJ36" s="666"/>
      <c r="AK36" s="666"/>
      <c r="AL36" s="666"/>
      <c r="AM36" s="666"/>
      <c r="AN36" s="666"/>
      <c r="AO36" s="666"/>
      <c r="AP36" s="666"/>
      <c r="AQ36" s="666"/>
      <c r="AR36" s="666"/>
      <c r="AS36" s="666"/>
      <c r="AT36" s="666"/>
      <c r="AU36" s="666"/>
      <c r="AV36" s="666"/>
      <c r="AW36" s="666"/>
      <c r="AX36" s="666"/>
      <c r="AY36" s="666"/>
      <c r="AZ36" s="666"/>
    </row>
    <row r="37" spans="1:52" ht="15" customHeight="1" x14ac:dyDescent="0.2">
      <c r="A37" s="835" t="s">
        <v>633</v>
      </c>
      <c r="B37" s="37"/>
      <c r="C37" s="158">
        <f>IF('Kalkulation Herstellungskosten'!AJ294=TRUE,'Kalkulation Herstellungskosten'!G294,0)</f>
        <v>0</v>
      </c>
      <c r="D37" s="831"/>
      <c r="E37" s="150">
        <v>0</v>
      </c>
      <c r="F37" s="281"/>
      <c r="G37" s="281"/>
      <c r="H37" s="281"/>
      <c r="I37" s="281"/>
      <c r="J37" s="281"/>
      <c r="K37" s="281"/>
      <c r="L37" s="281"/>
      <c r="M37" s="281"/>
      <c r="N37" s="281"/>
      <c r="O37" s="281"/>
      <c r="P37" s="281"/>
      <c r="Q37" s="281"/>
      <c r="R37" s="281"/>
      <c r="S37" s="281"/>
      <c r="T37" s="281"/>
      <c r="U37" s="281"/>
      <c r="V37" s="281"/>
      <c r="W37" s="281"/>
      <c r="X37" s="281"/>
      <c r="Y37" s="281"/>
      <c r="Z37" s="281"/>
      <c r="AA37" s="281"/>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row>
    <row r="38" spans="1:52" ht="15" customHeight="1" x14ac:dyDescent="0.2">
      <c r="A38" s="37" t="s">
        <v>741</v>
      </c>
      <c r="B38" s="37"/>
      <c r="C38" s="150">
        <v>0</v>
      </c>
      <c r="D38" s="831"/>
      <c r="E38" s="150"/>
      <c r="F38" s="281"/>
      <c r="G38" s="281"/>
      <c r="H38" s="281"/>
      <c r="I38" s="281"/>
      <c r="J38" s="281"/>
      <c r="K38" s="281"/>
      <c r="L38" s="281"/>
      <c r="M38" s="281"/>
      <c r="N38" s="281"/>
      <c r="O38" s="281"/>
      <c r="P38" s="281"/>
      <c r="Q38" s="281"/>
      <c r="R38" s="281"/>
      <c r="S38" s="281"/>
      <c r="T38" s="281"/>
      <c r="U38" s="281"/>
      <c r="V38" s="281"/>
      <c r="W38" s="281"/>
      <c r="X38" s="281"/>
      <c r="Y38" s="281"/>
      <c r="Z38" s="281"/>
      <c r="AA38" s="281"/>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row>
    <row r="39" spans="1:52" ht="15" customHeight="1" x14ac:dyDescent="0.2">
      <c r="A39" s="835" t="s">
        <v>736</v>
      </c>
      <c r="B39" s="37"/>
      <c r="C39" s="158">
        <f>IF('Kalkulation Herstellungskosten'!AJ353=TRUE,'Kalkulation Herstellungskosten'!G353,0)</f>
        <v>0</v>
      </c>
      <c r="D39" s="831"/>
      <c r="E39" s="150">
        <v>0</v>
      </c>
      <c r="F39" s="281"/>
      <c r="G39" s="281"/>
      <c r="H39" s="281"/>
      <c r="I39" s="281"/>
      <c r="J39" s="281"/>
      <c r="K39" s="281"/>
      <c r="L39" s="281"/>
      <c r="M39" s="281"/>
      <c r="N39" s="281"/>
      <c r="O39" s="281"/>
      <c r="P39" s="281"/>
      <c r="Q39" s="281"/>
      <c r="R39" s="281"/>
      <c r="S39" s="281"/>
      <c r="T39" s="281"/>
      <c r="U39" s="281"/>
      <c r="V39" s="281"/>
      <c r="W39" s="281"/>
      <c r="X39" s="281"/>
      <c r="Y39" s="281"/>
      <c r="Z39" s="281"/>
      <c r="AA39" s="281"/>
      <c r="AB39" s="666"/>
      <c r="AC39" s="666"/>
      <c r="AD39" s="666"/>
      <c r="AE39" s="666"/>
      <c r="AF39" s="666"/>
      <c r="AG39" s="666"/>
      <c r="AH39" s="666"/>
      <c r="AI39" s="666"/>
      <c r="AJ39" s="666"/>
      <c r="AK39" s="666"/>
      <c r="AL39" s="666"/>
      <c r="AM39" s="666"/>
      <c r="AN39" s="666"/>
      <c r="AO39" s="666"/>
      <c r="AP39" s="666"/>
      <c r="AQ39" s="666"/>
      <c r="AR39" s="666"/>
      <c r="AS39" s="666"/>
      <c r="AT39" s="666"/>
      <c r="AU39" s="666"/>
      <c r="AV39" s="666"/>
      <c r="AW39" s="666"/>
      <c r="AX39" s="666"/>
      <c r="AY39" s="666"/>
      <c r="AZ39" s="666"/>
    </row>
    <row r="40" spans="1:52" ht="15" customHeight="1" x14ac:dyDescent="0.2">
      <c r="A40" s="835" t="s">
        <v>637</v>
      </c>
      <c r="B40" s="37"/>
      <c r="C40" s="158">
        <f>IF('Kalkulation Herstellungskosten'!AJ354=TRUE,'Kalkulation Herstellungskosten'!G354,0)</f>
        <v>0</v>
      </c>
      <c r="D40" s="831"/>
      <c r="E40" s="150">
        <v>0</v>
      </c>
      <c r="F40" s="281"/>
      <c r="G40" s="281"/>
      <c r="H40" s="281"/>
      <c r="I40" s="281"/>
      <c r="J40" s="281"/>
      <c r="K40" s="281"/>
      <c r="L40" s="281"/>
      <c r="M40" s="281"/>
      <c r="N40" s="281"/>
      <c r="O40" s="281"/>
      <c r="P40" s="281"/>
      <c r="Q40" s="281"/>
      <c r="R40" s="281"/>
      <c r="S40" s="281"/>
      <c r="T40" s="281"/>
      <c r="U40" s="281"/>
      <c r="V40" s="281"/>
      <c r="W40" s="281"/>
      <c r="X40" s="281"/>
      <c r="Y40" s="281"/>
      <c r="Z40" s="281"/>
      <c r="AA40" s="281"/>
      <c r="AB40" s="666"/>
      <c r="AC40" s="666"/>
      <c r="AD40" s="666"/>
      <c r="AE40" s="666"/>
      <c r="AF40" s="666"/>
      <c r="AG40" s="666"/>
      <c r="AH40" s="666"/>
      <c r="AI40" s="666"/>
      <c r="AJ40" s="666"/>
      <c r="AK40" s="666"/>
      <c r="AL40" s="666"/>
      <c r="AM40" s="666"/>
      <c r="AN40" s="666"/>
      <c r="AO40" s="666"/>
      <c r="AP40" s="666"/>
      <c r="AQ40" s="666"/>
      <c r="AR40" s="666"/>
      <c r="AS40" s="666"/>
      <c r="AT40" s="666"/>
      <c r="AU40" s="666"/>
      <c r="AV40" s="666"/>
      <c r="AW40" s="666"/>
      <c r="AX40" s="666"/>
      <c r="AY40" s="666"/>
      <c r="AZ40" s="666"/>
    </row>
    <row r="41" spans="1:52" ht="15" customHeight="1" x14ac:dyDescent="0.2">
      <c r="A41" s="37" t="s">
        <v>737</v>
      </c>
      <c r="B41" s="37"/>
      <c r="C41" s="150">
        <v>0</v>
      </c>
      <c r="D41" s="831"/>
      <c r="E41" s="150">
        <v>0</v>
      </c>
      <c r="F41" s="281"/>
      <c r="G41" s="281"/>
      <c r="H41" s="281"/>
      <c r="I41" s="281"/>
      <c r="J41" s="281"/>
      <c r="K41" s="281"/>
      <c r="L41" s="281"/>
      <c r="M41" s="281"/>
      <c r="N41" s="281"/>
      <c r="O41" s="281"/>
      <c r="P41" s="281"/>
      <c r="Q41" s="281"/>
      <c r="R41" s="281"/>
      <c r="S41" s="281"/>
      <c r="T41" s="281"/>
      <c r="U41" s="281"/>
      <c r="V41" s="281"/>
      <c r="W41" s="281"/>
      <c r="X41" s="281"/>
      <c r="Y41" s="281"/>
      <c r="Z41" s="281"/>
      <c r="AA41" s="281"/>
      <c r="AB41" s="666"/>
      <c r="AC41" s="666"/>
      <c r="AD41" s="666"/>
      <c r="AE41" s="666"/>
      <c r="AF41" s="666"/>
      <c r="AG41" s="666"/>
      <c r="AH41" s="666"/>
      <c r="AI41" s="666"/>
      <c r="AJ41" s="666"/>
      <c r="AK41" s="666"/>
      <c r="AL41" s="666"/>
      <c r="AM41" s="666"/>
      <c r="AN41" s="666"/>
      <c r="AO41" s="666"/>
      <c r="AP41" s="666"/>
      <c r="AQ41" s="666"/>
      <c r="AR41" s="666"/>
      <c r="AS41" s="666"/>
      <c r="AT41" s="666"/>
      <c r="AU41" s="666"/>
      <c r="AV41" s="666"/>
      <c r="AW41" s="666"/>
      <c r="AX41" s="666"/>
      <c r="AY41" s="666"/>
      <c r="AZ41" s="666"/>
    </row>
    <row r="42" spans="1:52" ht="15" customHeight="1" x14ac:dyDescent="0.2">
      <c r="A42" s="835" t="s">
        <v>73</v>
      </c>
      <c r="B42" s="37"/>
      <c r="C42" s="158">
        <f>IF('Kalkulation Herstellungskosten'!AJ356=TRUE,'Kalkulation Herstellungskosten'!G356,0)</f>
        <v>0</v>
      </c>
      <c r="D42" s="831"/>
      <c r="E42" s="150"/>
      <c r="F42" s="281"/>
      <c r="G42" s="281"/>
      <c r="H42" s="281"/>
      <c r="I42" s="281"/>
      <c r="J42" s="281"/>
      <c r="K42" s="281"/>
      <c r="L42" s="281"/>
      <c r="M42" s="281"/>
      <c r="N42" s="281"/>
      <c r="O42" s="281"/>
      <c r="P42" s="281"/>
      <c r="Q42" s="281"/>
      <c r="R42" s="281"/>
      <c r="S42" s="281"/>
      <c r="T42" s="281"/>
      <c r="U42" s="281"/>
      <c r="V42" s="281"/>
      <c r="W42" s="281"/>
      <c r="X42" s="281"/>
      <c r="Y42" s="281"/>
      <c r="Z42" s="281"/>
      <c r="AA42" s="281"/>
      <c r="AB42" s="666"/>
      <c r="AC42" s="666"/>
      <c r="AD42" s="666"/>
      <c r="AE42" s="666"/>
      <c r="AF42" s="666"/>
      <c r="AG42" s="666"/>
      <c r="AH42" s="666"/>
      <c r="AI42" s="666"/>
      <c r="AJ42" s="666"/>
      <c r="AK42" s="666"/>
      <c r="AL42" s="666"/>
      <c r="AM42" s="666"/>
      <c r="AN42" s="666"/>
      <c r="AO42" s="666"/>
      <c r="AP42" s="666"/>
      <c r="AQ42" s="666"/>
      <c r="AR42" s="666"/>
      <c r="AS42" s="666"/>
      <c r="AT42" s="666"/>
      <c r="AU42" s="666"/>
      <c r="AV42" s="666"/>
      <c r="AW42" s="666"/>
      <c r="AX42" s="666"/>
      <c r="AY42" s="666"/>
      <c r="AZ42" s="666"/>
    </row>
    <row r="43" spans="1:52" ht="15" customHeight="1" x14ac:dyDescent="0.2">
      <c r="A43" s="835" t="s">
        <v>738</v>
      </c>
      <c r="B43" s="37"/>
      <c r="C43" s="150">
        <v>0</v>
      </c>
      <c r="D43" s="831"/>
      <c r="E43" s="150">
        <v>0</v>
      </c>
      <c r="F43" s="281"/>
      <c r="G43" s="281"/>
      <c r="H43" s="281"/>
      <c r="I43" s="281"/>
      <c r="J43" s="281"/>
      <c r="K43" s="281"/>
      <c r="L43" s="281"/>
      <c r="M43" s="281"/>
      <c r="N43" s="281"/>
      <c r="O43" s="281"/>
      <c r="P43" s="281"/>
      <c r="Q43" s="281"/>
      <c r="R43" s="281"/>
      <c r="S43" s="281"/>
      <c r="T43" s="281"/>
      <c r="U43" s="281"/>
      <c r="V43" s="281"/>
      <c r="W43" s="281"/>
      <c r="X43" s="281"/>
      <c r="Y43" s="281"/>
      <c r="Z43" s="281"/>
      <c r="AA43" s="281"/>
      <c r="AB43" s="666"/>
      <c r="AC43" s="666"/>
      <c r="AD43" s="666"/>
      <c r="AE43" s="666"/>
      <c r="AF43" s="666"/>
      <c r="AG43" s="666"/>
      <c r="AH43" s="666"/>
      <c r="AI43" s="666"/>
      <c r="AJ43" s="666"/>
      <c r="AK43" s="666"/>
      <c r="AL43" s="666"/>
      <c r="AM43" s="666"/>
      <c r="AN43" s="666"/>
      <c r="AO43" s="666"/>
      <c r="AP43" s="666"/>
      <c r="AQ43" s="666"/>
      <c r="AR43" s="666"/>
      <c r="AS43" s="666"/>
      <c r="AT43" s="666"/>
      <c r="AU43" s="666"/>
      <c r="AV43" s="666"/>
      <c r="AW43" s="666"/>
      <c r="AX43" s="666"/>
      <c r="AY43" s="666"/>
      <c r="AZ43" s="666"/>
    </row>
    <row r="44" spans="1:52" ht="15" customHeight="1" x14ac:dyDescent="0.2">
      <c r="A44" s="281"/>
      <c r="B44" s="281"/>
      <c r="C44" s="831"/>
      <c r="D44" s="831"/>
      <c r="E44" s="831"/>
      <c r="F44" s="281"/>
      <c r="G44" s="281"/>
      <c r="H44" s="281"/>
      <c r="I44" s="281"/>
      <c r="J44" s="281"/>
      <c r="K44" s="281"/>
      <c r="L44" s="281"/>
      <c r="M44" s="281"/>
      <c r="N44" s="281"/>
      <c r="O44" s="281"/>
      <c r="P44" s="281"/>
      <c r="Q44" s="281"/>
      <c r="R44" s="281"/>
      <c r="S44" s="281"/>
      <c r="T44" s="281"/>
      <c r="U44" s="281"/>
      <c r="V44" s="281"/>
      <c r="W44" s="281"/>
      <c r="X44" s="281"/>
      <c r="Y44" s="281"/>
      <c r="Z44" s="281"/>
      <c r="AA44" s="281"/>
      <c r="AB44" s="666"/>
      <c r="AC44" s="666"/>
      <c r="AD44" s="666"/>
      <c r="AE44" s="666"/>
      <c r="AF44" s="666"/>
      <c r="AG44" s="666"/>
      <c r="AH44" s="666"/>
      <c r="AI44" s="666"/>
      <c r="AJ44" s="666"/>
      <c r="AK44" s="666"/>
      <c r="AL44" s="666"/>
      <c r="AM44" s="666"/>
      <c r="AN44" s="666"/>
      <c r="AO44" s="666"/>
      <c r="AP44" s="666"/>
      <c r="AQ44" s="666"/>
      <c r="AR44" s="666"/>
      <c r="AS44" s="666"/>
      <c r="AT44" s="666"/>
      <c r="AU44" s="666"/>
      <c r="AV44" s="666"/>
      <c r="AW44" s="666"/>
      <c r="AX44" s="666"/>
      <c r="AY44" s="666"/>
      <c r="AZ44" s="666"/>
    </row>
    <row r="45" spans="1:52" ht="15" customHeight="1" x14ac:dyDescent="0.2">
      <c r="A45" s="848" t="s">
        <v>739</v>
      </c>
      <c r="B45" s="281"/>
      <c r="C45" s="831"/>
      <c r="D45" s="831"/>
      <c r="E45" s="831"/>
      <c r="F45" s="281"/>
      <c r="G45" s="281"/>
      <c r="H45" s="281"/>
      <c r="I45" s="281"/>
      <c r="J45" s="281"/>
      <c r="K45" s="281"/>
      <c r="L45" s="281"/>
      <c r="M45" s="281"/>
      <c r="N45" s="281"/>
      <c r="O45" s="281"/>
      <c r="P45" s="281"/>
      <c r="Q45" s="281"/>
      <c r="R45" s="281"/>
      <c r="S45" s="281"/>
      <c r="T45" s="281"/>
      <c r="U45" s="281"/>
      <c r="V45" s="281"/>
      <c r="W45" s="281"/>
      <c r="X45" s="281"/>
      <c r="Y45" s="281"/>
      <c r="Z45" s="281"/>
      <c r="AA45" s="281"/>
      <c r="AB45" s="666"/>
      <c r="AC45" s="666"/>
      <c r="AD45" s="666"/>
      <c r="AE45" s="666"/>
      <c r="AF45" s="666"/>
      <c r="AG45" s="666"/>
      <c r="AH45" s="666"/>
      <c r="AI45" s="666"/>
      <c r="AJ45" s="666"/>
      <c r="AK45" s="666"/>
      <c r="AL45" s="666"/>
      <c r="AM45" s="666"/>
      <c r="AN45" s="666"/>
      <c r="AO45" s="666"/>
      <c r="AP45" s="666"/>
      <c r="AQ45" s="666"/>
      <c r="AR45" s="666"/>
      <c r="AS45" s="666"/>
      <c r="AT45" s="666"/>
      <c r="AU45" s="666"/>
      <c r="AV45" s="666"/>
      <c r="AW45" s="666"/>
      <c r="AX45" s="666"/>
      <c r="AY45" s="666"/>
      <c r="AZ45" s="666"/>
    </row>
    <row r="46" spans="1:52" ht="15" customHeight="1" x14ac:dyDescent="0.2">
      <c r="A46" s="830" t="s">
        <v>221</v>
      </c>
      <c r="B46" s="830"/>
      <c r="C46" s="836">
        <f ca="1">'Kalkulation Herstellungskosten'!E225</f>
        <v>0</v>
      </c>
      <c r="D46" s="836"/>
      <c r="E46" s="843">
        <f>'Kalkulation Herstellungskosten'!F225</f>
        <v>0</v>
      </c>
      <c r="F46" s="281"/>
      <c r="G46" s="281"/>
      <c r="H46" s="281"/>
      <c r="I46" s="281"/>
      <c r="J46" s="281"/>
      <c r="K46" s="281"/>
      <c r="L46" s="281"/>
      <c r="M46" s="281"/>
      <c r="N46" s="281"/>
      <c r="O46" s="281"/>
      <c r="P46" s="281"/>
      <c r="Q46" s="281"/>
      <c r="R46" s="281"/>
      <c r="S46" s="281"/>
      <c r="T46" s="281"/>
      <c r="U46" s="281"/>
      <c r="V46" s="281"/>
      <c r="W46" s="281"/>
      <c r="X46" s="281"/>
      <c r="Y46" s="281"/>
      <c r="Z46" s="281"/>
      <c r="AA46" s="281"/>
      <c r="AB46" s="666"/>
      <c r="AC46" s="666"/>
      <c r="AD46" s="666"/>
      <c r="AE46" s="666"/>
      <c r="AF46" s="666"/>
      <c r="AG46" s="666"/>
      <c r="AH46" s="666"/>
      <c r="AI46" s="666"/>
      <c r="AJ46" s="666"/>
      <c r="AK46" s="666"/>
      <c r="AL46" s="666"/>
      <c r="AM46" s="666"/>
      <c r="AN46" s="666"/>
      <c r="AO46" s="666"/>
      <c r="AP46" s="666"/>
      <c r="AQ46" s="666"/>
      <c r="AR46" s="666"/>
      <c r="AS46" s="666"/>
      <c r="AT46" s="666"/>
      <c r="AU46" s="666"/>
      <c r="AV46" s="666"/>
      <c r="AW46" s="666"/>
      <c r="AX46" s="666"/>
      <c r="AY46" s="666"/>
      <c r="AZ46" s="666"/>
    </row>
    <row r="47" spans="1:52" ht="15" customHeight="1" x14ac:dyDescent="0.2">
      <c r="A47" s="830" t="s">
        <v>25</v>
      </c>
      <c r="B47" s="830"/>
      <c r="C47" s="836">
        <f ca="1">Zusammenfassung!D18</f>
        <v>0</v>
      </c>
      <c r="D47" s="836"/>
      <c r="E47" s="843" t="e">
        <f>Zusammenfassung!#REF!</f>
        <v>#REF!</v>
      </c>
      <c r="F47" s="281"/>
      <c r="G47" s="281"/>
      <c r="H47" s="281"/>
      <c r="I47" s="281"/>
      <c r="J47" s="281"/>
      <c r="K47" s="281"/>
      <c r="L47" s="281"/>
      <c r="M47" s="281"/>
      <c r="N47" s="281"/>
      <c r="O47" s="281"/>
      <c r="P47" s="281"/>
      <c r="Q47" s="281"/>
      <c r="R47" s="281"/>
      <c r="S47" s="281"/>
      <c r="T47" s="281"/>
      <c r="U47" s="281"/>
      <c r="V47" s="281"/>
      <c r="W47" s="281"/>
      <c r="X47" s="281"/>
      <c r="Y47" s="281"/>
      <c r="Z47" s="281"/>
      <c r="AA47" s="281"/>
      <c r="AB47" s="666"/>
      <c r="AC47" s="666"/>
      <c r="AD47" s="666"/>
      <c r="AE47" s="666"/>
      <c r="AF47" s="666"/>
      <c r="AG47" s="666"/>
      <c r="AH47" s="666"/>
      <c r="AI47" s="666"/>
      <c r="AJ47" s="666"/>
      <c r="AK47" s="666"/>
      <c r="AL47" s="666"/>
      <c r="AM47" s="666"/>
      <c r="AN47" s="666"/>
      <c r="AO47" s="666"/>
      <c r="AP47" s="666"/>
      <c r="AQ47" s="666"/>
      <c r="AR47" s="666"/>
      <c r="AS47" s="666"/>
      <c r="AT47" s="666"/>
      <c r="AU47" s="666"/>
      <c r="AV47" s="666"/>
      <c r="AW47" s="666"/>
      <c r="AX47" s="666"/>
      <c r="AY47" s="666"/>
      <c r="AZ47" s="666"/>
    </row>
    <row r="48" spans="1:52" ht="15" customHeight="1" thickBot="1" x14ac:dyDescent="0.25">
      <c r="A48" s="281"/>
      <c r="B48" s="281"/>
      <c r="C48" s="831"/>
      <c r="D48" s="831"/>
      <c r="E48" s="844"/>
      <c r="F48" s="281"/>
      <c r="G48" s="281"/>
      <c r="H48" s="281"/>
      <c r="I48" s="281"/>
      <c r="J48" s="281"/>
      <c r="K48" s="281"/>
      <c r="L48" s="281"/>
      <c r="M48" s="281"/>
      <c r="N48" s="281"/>
      <c r="O48" s="281"/>
      <c r="P48" s="281"/>
      <c r="Q48" s="281"/>
      <c r="R48" s="281"/>
      <c r="S48" s="281"/>
      <c r="T48" s="281"/>
      <c r="U48" s="281"/>
      <c r="V48" s="281"/>
      <c r="W48" s="281"/>
      <c r="X48" s="281"/>
      <c r="Y48" s="281"/>
      <c r="Z48" s="281"/>
      <c r="AA48" s="281"/>
      <c r="AB48" s="666"/>
      <c r="AC48" s="666"/>
      <c r="AD48" s="666"/>
      <c r="AE48" s="666"/>
      <c r="AF48" s="666"/>
      <c r="AG48" s="666"/>
      <c r="AH48" s="666"/>
      <c r="AI48" s="666"/>
      <c r="AJ48" s="666"/>
      <c r="AK48" s="666"/>
      <c r="AL48" s="666"/>
      <c r="AM48" s="666"/>
      <c r="AN48" s="666"/>
      <c r="AO48" s="666"/>
      <c r="AP48" s="666"/>
      <c r="AQ48" s="666"/>
      <c r="AR48" s="666"/>
      <c r="AS48" s="666"/>
      <c r="AT48" s="666"/>
      <c r="AU48" s="666"/>
      <c r="AV48" s="666"/>
      <c r="AW48" s="666"/>
      <c r="AX48" s="666"/>
      <c r="AY48" s="666"/>
      <c r="AZ48" s="666"/>
    </row>
    <row r="49" spans="1:52" ht="21" customHeight="1" thickBot="1" x14ac:dyDescent="0.25">
      <c r="A49" s="839" t="s">
        <v>752</v>
      </c>
      <c r="B49" s="840"/>
      <c r="C49" s="841">
        <f ca="1">SUM(C7:C48)</f>
        <v>0</v>
      </c>
      <c r="D49" s="837" t="str">
        <f ca="1">IF(GHSTK=0,"",C49/GHSTK)</f>
        <v/>
      </c>
      <c r="E49" s="845" t="e">
        <f>SUM(E7:E48)</f>
        <v>#REF!</v>
      </c>
      <c r="F49" s="281"/>
      <c r="G49" s="281"/>
      <c r="H49" s="281"/>
      <c r="I49" s="281"/>
      <c r="J49" s="281"/>
      <c r="K49" s="281"/>
      <c r="L49" s="281"/>
      <c r="M49" s="281"/>
      <c r="N49" s="281"/>
      <c r="O49" s="281"/>
      <c r="P49" s="281"/>
      <c r="Q49" s="281"/>
      <c r="R49" s="281"/>
      <c r="S49" s="281"/>
      <c r="T49" s="281"/>
      <c r="U49" s="281"/>
      <c r="V49" s="281"/>
      <c r="W49" s="281"/>
      <c r="X49" s="281"/>
      <c r="Y49" s="281"/>
      <c r="Z49" s="281"/>
      <c r="AA49" s="281"/>
      <c r="AB49" s="666"/>
      <c r="AC49" s="666"/>
      <c r="AD49" s="666"/>
      <c r="AE49" s="666"/>
      <c r="AF49" s="666"/>
      <c r="AG49" s="666"/>
      <c r="AH49" s="666"/>
      <c r="AI49" s="666"/>
      <c r="AJ49" s="666"/>
      <c r="AK49" s="666"/>
      <c r="AL49" s="666"/>
      <c r="AM49" s="666"/>
      <c r="AN49" s="666"/>
      <c r="AO49" s="666"/>
      <c r="AP49" s="666"/>
      <c r="AQ49" s="666"/>
      <c r="AR49" s="666"/>
      <c r="AS49" s="666"/>
      <c r="AT49" s="666"/>
      <c r="AU49" s="666"/>
      <c r="AV49" s="666"/>
      <c r="AW49" s="666"/>
      <c r="AX49" s="666"/>
      <c r="AY49" s="666"/>
      <c r="AZ49" s="666"/>
    </row>
    <row r="50" spans="1:52" ht="21" customHeight="1" x14ac:dyDescent="0.2">
      <c r="A50" s="842" t="s">
        <v>740</v>
      </c>
      <c r="B50" s="281"/>
      <c r="C50" s="838">
        <f ca="1">Finanzierungsplan!C6+Finanzierungsplan!C7</f>
        <v>0</v>
      </c>
      <c r="D50" s="838"/>
      <c r="E50" s="846">
        <f>Finanzierungsplan!D6+Finanzierungsplan!D7</f>
        <v>0</v>
      </c>
      <c r="F50" s="281"/>
      <c r="G50" s="281"/>
      <c r="H50" s="281"/>
      <c r="I50" s="281"/>
      <c r="J50" s="281"/>
      <c r="K50" s="281"/>
      <c r="L50" s="281"/>
      <c r="M50" s="281"/>
      <c r="N50" s="281"/>
      <c r="O50" s="281"/>
      <c r="P50" s="281"/>
      <c r="Q50" s="281"/>
      <c r="R50" s="281"/>
      <c r="S50" s="281"/>
      <c r="T50" s="281"/>
      <c r="U50" s="281"/>
      <c r="V50" s="281"/>
      <c r="W50" s="281"/>
      <c r="X50" s="281"/>
      <c r="Y50" s="281"/>
      <c r="Z50" s="281"/>
      <c r="AA50" s="281"/>
      <c r="AB50" s="666"/>
      <c r="AC50" s="666"/>
      <c r="AD50" s="666"/>
      <c r="AE50" s="666"/>
      <c r="AF50" s="666"/>
      <c r="AG50" s="666"/>
      <c r="AH50" s="666"/>
      <c r="AI50" s="666"/>
      <c r="AJ50" s="666"/>
      <c r="AK50" s="666"/>
      <c r="AL50" s="666"/>
      <c r="AM50" s="666"/>
      <c r="AN50" s="666"/>
      <c r="AO50" s="666"/>
      <c r="AP50" s="666"/>
      <c r="AQ50" s="666"/>
      <c r="AR50" s="666"/>
      <c r="AS50" s="666"/>
      <c r="AT50" s="666"/>
      <c r="AU50" s="666"/>
      <c r="AV50" s="666"/>
      <c r="AW50" s="666"/>
      <c r="AX50" s="666"/>
      <c r="AY50" s="666"/>
      <c r="AZ50" s="666"/>
    </row>
    <row r="51" spans="1:52" ht="21" hidden="1" customHeight="1" outlineLevel="1" x14ac:dyDescent="0.2">
      <c r="A51" s="281" t="s">
        <v>939</v>
      </c>
      <c r="B51" s="281"/>
      <c r="C51" s="283">
        <f ca="1">C49-C50</f>
        <v>0</v>
      </c>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666"/>
      <c r="AC51" s="666"/>
      <c r="AD51" s="666"/>
      <c r="AE51" s="666"/>
      <c r="AF51" s="666"/>
      <c r="AG51" s="666"/>
      <c r="AH51" s="666"/>
      <c r="AI51" s="666"/>
      <c r="AJ51" s="666"/>
      <c r="AK51" s="666"/>
      <c r="AL51" s="666"/>
      <c r="AM51" s="666"/>
      <c r="AN51" s="666"/>
      <c r="AO51" s="666"/>
      <c r="AP51" s="666"/>
      <c r="AQ51" s="666"/>
      <c r="AR51" s="666"/>
      <c r="AS51" s="666"/>
      <c r="AT51" s="666"/>
      <c r="AU51" s="666"/>
      <c r="AV51" s="666"/>
      <c r="AW51" s="666"/>
      <c r="AX51" s="666"/>
      <c r="AY51" s="666"/>
      <c r="AZ51" s="666"/>
    </row>
    <row r="52" spans="1:52" collapsed="1"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row>
    <row r="53" spans="1:52"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666"/>
      <c r="AC53" s="666"/>
      <c r="AD53" s="666"/>
      <c r="AE53" s="666"/>
      <c r="AF53" s="666"/>
      <c r="AG53" s="666"/>
      <c r="AH53" s="666"/>
      <c r="AI53" s="666"/>
      <c r="AJ53" s="666"/>
      <c r="AK53" s="666"/>
      <c r="AL53" s="666"/>
      <c r="AM53" s="666"/>
      <c r="AN53" s="666"/>
      <c r="AO53" s="666"/>
      <c r="AP53" s="666"/>
      <c r="AQ53" s="666"/>
      <c r="AR53" s="666"/>
      <c r="AS53" s="666"/>
      <c r="AT53" s="666"/>
      <c r="AU53" s="666"/>
      <c r="AV53" s="666"/>
      <c r="AW53" s="666"/>
      <c r="AX53" s="666"/>
      <c r="AY53" s="666"/>
      <c r="AZ53" s="666"/>
    </row>
    <row r="54" spans="1:52"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666"/>
      <c r="AC54" s="666"/>
      <c r="AD54" s="666"/>
      <c r="AE54" s="666"/>
      <c r="AF54" s="666"/>
      <c r="AG54" s="666"/>
      <c r="AH54" s="666"/>
      <c r="AI54" s="666"/>
      <c r="AJ54" s="666"/>
      <c r="AK54" s="666"/>
      <c r="AL54" s="666"/>
      <c r="AM54" s="666"/>
      <c r="AN54" s="666"/>
      <c r="AO54" s="666"/>
      <c r="AP54" s="666"/>
      <c r="AQ54" s="666"/>
      <c r="AR54" s="666"/>
      <c r="AS54" s="666"/>
      <c r="AT54" s="666"/>
      <c r="AU54" s="666"/>
      <c r="AV54" s="666"/>
      <c r="AW54" s="666"/>
      <c r="AX54" s="666"/>
      <c r="AY54" s="666"/>
      <c r="AZ54" s="666"/>
    </row>
    <row r="55" spans="1:52"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666"/>
      <c r="AC55" s="666"/>
      <c r="AD55" s="666"/>
      <c r="AE55" s="666"/>
      <c r="AF55" s="666"/>
      <c r="AG55" s="666"/>
      <c r="AH55" s="666"/>
      <c r="AI55" s="666"/>
      <c r="AJ55" s="666"/>
      <c r="AK55" s="666"/>
      <c r="AL55" s="666"/>
      <c r="AM55" s="666"/>
      <c r="AN55" s="666"/>
      <c r="AO55" s="666"/>
      <c r="AP55" s="666"/>
      <c r="AQ55" s="666"/>
      <c r="AR55" s="666"/>
      <c r="AS55" s="666"/>
      <c r="AT55" s="666"/>
      <c r="AU55" s="666"/>
      <c r="AV55" s="666"/>
      <c r="AW55" s="666"/>
      <c r="AX55" s="666"/>
      <c r="AY55" s="666"/>
      <c r="AZ55" s="666"/>
    </row>
    <row r="56" spans="1:52"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666"/>
      <c r="AC56" s="666"/>
      <c r="AD56" s="666"/>
      <c r="AE56" s="666"/>
      <c r="AF56" s="666"/>
      <c r="AG56" s="666"/>
      <c r="AH56" s="666"/>
      <c r="AI56" s="666"/>
      <c r="AJ56" s="666"/>
      <c r="AK56" s="666"/>
      <c r="AL56" s="666"/>
      <c r="AM56" s="666"/>
      <c r="AN56" s="666"/>
      <c r="AO56" s="666"/>
      <c r="AP56" s="666"/>
      <c r="AQ56" s="666"/>
      <c r="AR56" s="666"/>
      <c r="AS56" s="666"/>
      <c r="AT56" s="666"/>
      <c r="AU56" s="666"/>
      <c r="AV56" s="666"/>
      <c r="AW56" s="666"/>
      <c r="AX56" s="666"/>
      <c r="AY56" s="666"/>
      <c r="AZ56" s="666"/>
    </row>
    <row r="57" spans="1:52"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666"/>
      <c r="AC57" s="666"/>
      <c r="AD57" s="666"/>
      <c r="AE57" s="666"/>
      <c r="AF57" s="666"/>
      <c r="AG57" s="666"/>
      <c r="AH57" s="666"/>
      <c r="AI57" s="666"/>
      <c r="AJ57" s="666"/>
      <c r="AK57" s="666"/>
      <c r="AL57" s="666"/>
      <c r="AM57" s="666"/>
      <c r="AN57" s="666"/>
      <c r="AO57" s="666"/>
      <c r="AP57" s="666"/>
      <c r="AQ57" s="666"/>
      <c r="AR57" s="666"/>
      <c r="AS57" s="666"/>
      <c r="AT57" s="666"/>
      <c r="AU57" s="666"/>
      <c r="AV57" s="666"/>
      <c r="AW57" s="666"/>
      <c r="AX57" s="666"/>
      <c r="AY57" s="666"/>
      <c r="AZ57" s="666"/>
    </row>
    <row r="58" spans="1:52"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666"/>
      <c r="AC58" s="666"/>
      <c r="AD58" s="666"/>
      <c r="AE58" s="666"/>
      <c r="AF58" s="666"/>
      <c r="AG58" s="666"/>
      <c r="AH58" s="666"/>
      <c r="AI58" s="666"/>
      <c r="AJ58" s="666"/>
      <c r="AK58" s="666"/>
      <c r="AL58" s="666"/>
      <c r="AM58" s="666"/>
      <c r="AN58" s="666"/>
      <c r="AO58" s="666"/>
      <c r="AP58" s="666"/>
      <c r="AQ58" s="666"/>
      <c r="AR58" s="666"/>
      <c r="AS58" s="666"/>
      <c r="AT58" s="666"/>
      <c r="AU58" s="666"/>
      <c r="AV58" s="666"/>
      <c r="AW58" s="666"/>
      <c r="AX58" s="666"/>
      <c r="AY58" s="666"/>
      <c r="AZ58" s="666"/>
    </row>
    <row r="59" spans="1:52"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666"/>
      <c r="AC59" s="666"/>
      <c r="AD59" s="666"/>
      <c r="AE59" s="666"/>
      <c r="AF59" s="666"/>
      <c r="AG59" s="666"/>
      <c r="AH59" s="666"/>
      <c r="AI59" s="666"/>
      <c r="AJ59" s="666"/>
      <c r="AK59" s="666"/>
      <c r="AL59" s="666"/>
      <c r="AM59" s="666"/>
      <c r="AN59" s="666"/>
      <c r="AO59" s="666"/>
      <c r="AP59" s="666"/>
      <c r="AQ59" s="666"/>
      <c r="AR59" s="666"/>
      <c r="AS59" s="666"/>
      <c r="AT59" s="666"/>
      <c r="AU59" s="666"/>
      <c r="AV59" s="666"/>
      <c r="AW59" s="666"/>
      <c r="AX59" s="666"/>
      <c r="AY59" s="666"/>
      <c r="AZ59" s="666"/>
    </row>
    <row r="60" spans="1:52"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666"/>
      <c r="AC60" s="666"/>
      <c r="AD60" s="666"/>
      <c r="AE60" s="666"/>
      <c r="AF60" s="666"/>
      <c r="AG60" s="666"/>
      <c r="AH60" s="666"/>
      <c r="AI60" s="666"/>
      <c r="AJ60" s="666"/>
      <c r="AK60" s="666"/>
      <c r="AL60" s="666"/>
      <c r="AM60" s="666"/>
      <c r="AN60" s="666"/>
      <c r="AO60" s="666"/>
      <c r="AP60" s="666"/>
      <c r="AQ60" s="666"/>
      <c r="AR60" s="666"/>
      <c r="AS60" s="666"/>
      <c r="AT60" s="666"/>
      <c r="AU60" s="666"/>
      <c r="AV60" s="666"/>
      <c r="AW60" s="666"/>
      <c r="AX60" s="666"/>
      <c r="AY60" s="666"/>
      <c r="AZ60" s="666"/>
    </row>
    <row r="61" spans="1:52"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666"/>
      <c r="AC61" s="666"/>
      <c r="AD61" s="666"/>
      <c r="AE61" s="666"/>
      <c r="AF61" s="666"/>
      <c r="AG61" s="666"/>
      <c r="AH61" s="666"/>
      <c r="AI61" s="666"/>
      <c r="AJ61" s="666"/>
      <c r="AK61" s="666"/>
      <c r="AL61" s="666"/>
      <c r="AM61" s="666"/>
      <c r="AN61" s="666"/>
      <c r="AO61" s="666"/>
      <c r="AP61" s="666"/>
      <c r="AQ61" s="666"/>
      <c r="AR61" s="666"/>
      <c r="AS61" s="666"/>
      <c r="AT61" s="666"/>
      <c r="AU61" s="666"/>
      <c r="AV61" s="666"/>
      <c r="AW61" s="666"/>
      <c r="AX61" s="666"/>
      <c r="AY61" s="666"/>
      <c r="AZ61" s="666"/>
    </row>
    <row r="62" spans="1:52"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666"/>
      <c r="AC62" s="666"/>
      <c r="AD62" s="666"/>
      <c r="AE62" s="666"/>
      <c r="AF62" s="666"/>
      <c r="AG62" s="666"/>
      <c r="AH62" s="666"/>
      <c r="AI62" s="666"/>
      <c r="AJ62" s="666"/>
      <c r="AK62" s="666"/>
      <c r="AL62" s="666"/>
      <c r="AM62" s="666"/>
      <c r="AN62" s="666"/>
      <c r="AO62" s="666"/>
      <c r="AP62" s="666"/>
      <c r="AQ62" s="666"/>
      <c r="AR62" s="666"/>
      <c r="AS62" s="666"/>
      <c r="AT62" s="666"/>
      <c r="AU62" s="666"/>
      <c r="AV62" s="666"/>
      <c r="AW62" s="666"/>
      <c r="AX62" s="666"/>
      <c r="AY62" s="666"/>
      <c r="AZ62" s="666"/>
    </row>
    <row r="63" spans="1:52"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666"/>
      <c r="AC63" s="666"/>
      <c r="AD63" s="666"/>
      <c r="AE63" s="666"/>
      <c r="AF63" s="666"/>
      <c r="AG63" s="666"/>
      <c r="AH63" s="666"/>
      <c r="AI63" s="666"/>
      <c r="AJ63" s="666"/>
      <c r="AK63" s="666"/>
      <c r="AL63" s="666"/>
      <c r="AM63" s="666"/>
      <c r="AN63" s="666"/>
      <c r="AO63" s="666"/>
      <c r="AP63" s="666"/>
      <c r="AQ63" s="666"/>
      <c r="AR63" s="666"/>
      <c r="AS63" s="666"/>
      <c r="AT63" s="666"/>
      <c r="AU63" s="666"/>
      <c r="AV63" s="666"/>
      <c r="AW63" s="666"/>
      <c r="AX63" s="666"/>
      <c r="AY63" s="666"/>
      <c r="AZ63" s="666"/>
    </row>
    <row r="64" spans="1:52"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6"/>
      <c r="AZ64" s="666"/>
    </row>
    <row r="65" spans="1:52"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row>
    <row r="66" spans="1:52"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row>
    <row r="67" spans="1:52"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666"/>
      <c r="AC67" s="666"/>
      <c r="AD67" s="666"/>
      <c r="AE67" s="666"/>
      <c r="AF67" s="666"/>
      <c r="AG67" s="666"/>
      <c r="AH67" s="666"/>
      <c r="AI67" s="666"/>
      <c r="AJ67" s="666"/>
      <c r="AK67" s="666"/>
      <c r="AL67" s="666"/>
      <c r="AM67" s="666"/>
      <c r="AN67" s="666"/>
      <c r="AO67" s="666"/>
      <c r="AP67" s="666"/>
      <c r="AQ67" s="666"/>
      <c r="AR67" s="666"/>
      <c r="AS67" s="666"/>
      <c r="AT67" s="666"/>
      <c r="AU67" s="666"/>
      <c r="AV67" s="666"/>
      <c r="AW67" s="666"/>
      <c r="AX67" s="666"/>
      <c r="AY67" s="666"/>
      <c r="AZ67" s="666"/>
    </row>
    <row r="68" spans="1:52"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row>
    <row r="69" spans="1:52"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666"/>
      <c r="AC69" s="666"/>
      <c r="AD69" s="666"/>
      <c r="AE69" s="666"/>
      <c r="AF69" s="666"/>
      <c r="AG69" s="666"/>
      <c r="AH69" s="666"/>
      <c r="AI69" s="666"/>
      <c r="AJ69" s="666"/>
      <c r="AK69" s="666"/>
      <c r="AL69" s="666"/>
      <c r="AM69" s="666"/>
      <c r="AN69" s="666"/>
      <c r="AO69" s="666"/>
      <c r="AP69" s="666"/>
      <c r="AQ69" s="666"/>
      <c r="AR69" s="666"/>
      <c r="AS69" s="666"/>
      <c r="AT69" s="666"/>
      <c r="AU69" s="666"/>
      <c r="AV69" s="666"/>
      <c r="AW69" s="666"/>
      <c r="AX69" s="666"/>
      <c r="AY69" s="666"/>
      <c r="AZ69" s="666"/>
    </row>
    <row r="70" spans="1:52" x14ac:dyDescent="0.2">
      <c r="A70" s="666"/>
      <c r="B70" s="666"/>
      <c r="C70" s="666"/>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666"/>
      <c r="AC70" s="666"/>
      <c r="AD70" s="666"/>
      <c r="AE70" s="666"/>
      <c r="AF70" s="666"/>
      <c r="AG70" s="666"/>
      <c r="AH70" s="666"/>
      <c r="AI70" s="666"/>
      <c r="AJ70" s="666"/>
      <c r="AK70" s="666"/>
      <c r="AL70" s="666"/>
      <c r="AM70" s="666"/>
      <c r="AN70" s="666"/>
      <c r="AO70" s="666"/>
      <c r="AP70" s="666"/>
      <c r="AQ70" s="666"/>
      <c r="AR70" s="666"/>
      <c r="AS70" s="666"/>
      <c r="AT70" s="666"/>
      <c r="AU70" s="666"/>
      <c r="AV70" s="666"/>
      <c r="AW70" s="666"/>
      <c r="AX70" s="666"/>
      <c r="AY70" s="666"/>
      <c r="AZ70" s="666"/>
    </row>
    <row r="71" spans="1:52" x14ac:dyDescent="0.2">
      <c r="A71" s="666"/>
      <c r="B71" s="666"/>
      <c r="C71" s="666"/>
      <c r="D71" s="666"/>
      <c r="E71" s="666"/>
      <c r="F71" s="666"/>
      <c r="G71" s="666"/>
      <c r="H71" s="666"/>
      <c r="I71" s="666"/>
      <c r="J71" s="666"/>
      <c r="K71" s="666"/>
      <c r="L71" s="666"/>
      <c r="M71" s="666"/>
      <c r="N71" s="666"/>
      <c r="O71" s="666"/>
      <c r="P71" s="666"/>
      <c r="Q71" s="666"/>
      <c r="R71" s="666"/>
      <c r="S71" s="666"/>
      <c r="T71" s="666"/>
      <c r="U71" s="666"/>
      <c r="V71" s="666"/>
      <c r="W71" s="666"/>
      <c r="X71" s="666"/>
      <c r="Y71" s="666"/>
      <c r="Z71" s="666"/>
      <c r="AA71" s="666"/>
      <c r="AB71" s="666"/>
      <c r="AC71" s="666"/>
      <c r="AD71" s="666"/>
      <c r="AE71" s="666"/>
      <c r="AF71" s="666"/>
      <c r="AG71" s="666"/>
      <c r="AH71" s="666"/>
      <c r="AI71" s="666"/>
      <c r="AJ71" s="666"/>
      <c r="AK71" s="666"/>
      <c r="AL71" s="666"/>
      <c r="AM71" s="666"/>
      <c r="AN71" s="666"/>
      <c r="AO71" s="666"/>
      <c r="AP71" s="666"/>
      <c r="AQ71" s="666"/>
      <c r="AR71" s="666"/>
      <c r="AS71" s="666"/>
      <c r="AT71" s="666"/>
      <c r="AU71" s="666"/>
      <c r="AV71" s="666"/>
      <c r="AW71" s="666"/>
      <c r="AX71" s="666"/>
      <c r="AY71" s="666"/>
      <c r="AZ71" s="666"/>
    </row>
    <row r="72" spans="1:52" x14ac:dyDescent="0.2">
      <c r="A72" s="666"/>
      <c r="B72" s="666"/>
      <c r="C72" s="666"/>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6"/>
      <c r="AV72" s="666"/>
      <c r="AW72" s="666"/>
      <c r="AX72" s="666"/>
      <c r="AY72" s="666"/>
      <c r="AZ72" s="666"/>
    </row>
    <row r="73" spans="1:52" x14ac:dyDescent="0.2">
      <c r="A73" s="666"/>
      <c r="B73" s="666"/>
      <c r="C73" s="666"/>
      <c r="D73" s="666"/>
      <c r="E73" s="666"/>
      <c r="F73" s="666"/>
      <c r="G73" s="666"/>
      <c r="H73" s="666"/>
      <c r="I73" s="666"/>
      <c r="J73" s="666"/>
      <c r="K73" s="666"/>
      <c r="L73" s="666"/>
      <c r="M73" s="666"/>
      <c r="N73" s="666"/>
      <c r="O73" s="666"/>
      <c r="P73" s="666"/>
      <c r="Q73" s="666"/>
      <c r="R73" s="666"/>
      <c r="S73" s="666"/>
      <c r="T73" s="666"/>
      <c r="U73" s="666"/>
      <c r="V73" s="666"/>
      <c r="W73" s="666"/>
      <c r="X73" s="666"/>
      <c r="Y73" s="666"/>
      <c r="Z73" s="666"/>
      <c r="AA73" s="666"/>
      <c r="AB73" s="666"/>
      <c r="AC73" s="666"/>
      <c r="AD73" s="666"/>
      <c r="AE73" s="666"/>
      <c r="AF73" s="666"/>
      <c r="AG73" s="666"/>
      <c r="AH73" s="666"/>
      <c r="AI73" s="666"/>
      <c r="AJ73" s="666"/>
      <c r="AK73" s="666"/>
      <c r="AL73" s="666"/>
      <c r="AM73" s="666"/>
      <c r="AN73" s="666"/>
      <c r="AO73" s="666"/>
      <c r="AP73" s="666"/>
      <c r="AQ73" s="666"/>
      <c r="AR73" s="666"/>
      <c r="AS73" s="666"/>
      <c r="AT73" s="666"/>
      <c r="AU73" s="666"/>
      <c r="AV73" s="666"/>
      <c r="AW73" s="666"/>
      <c r="AX73" s="666"/>
      <c r="AY73" s="666"/>
      <c r="AZ73" s="666"/>
    </row>
    <row r="74" spans="1:52" x14ac:dyDescent="0.2">
      <c r="A74" s="666"/>
      <c r="B74" s="666"/>
      <c r="C74" s="666"/>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row>
    <row r="75" spans="1:52" x14ac:dyDescent="0.2">
      <c r="A75" s="666"/>
      <c r="B75" s="666"/>
      <c r="C75" s="666"/>
      <c r="D75" s="666"/>
      <c r="E75" s="666"/>
      <c r="F75" s="666"/>
      <c r="G75" s="666"/>
      <c r="H75" s="666"/>
      <c r="I75" s="666"/>
      <c r="J75" s="666"/>
      <c r="K75" s="666"/>
      <c r="L75" s="666"/>
      <c r="M75" s="666"/>
      <c r="N75" s="666"/>
      <c r="O75" s="666"/>
      <c r="P75" s="666"/>
      <c r="Q75" s="666"/>
      <c r="R75" s="666"/>
      <c r="S75" s="666"/>
      <c r="T75" s="666"/>
      <c r="U75" s="666"/>
      <c r="V75" s="666"/>
      <c r="W75" s="666"/>
      <c r="X75" s="666"/>
      <c r="Y75" s="666"/>
      <c r="Z75" s="666"/>
      <c r="AA75" s="666"/>
      <c r="AB75" s="666"/>
      <c r="AC75" s="666"/>
      <c r="AD75" s="666"/>
      <c r="AE75" s="666"/>
      <c r="AF75" s="666"/>
      <c r="AG75" s="666"/>
      <c r="AH75" s="666"/>
      <c r="AI75" s="666"/>
      <c r="AJ75" s="666"/>
      <c r="AK75" s="666"/>
      <c r="AL75" s="666"/>
      <c r="AM75" s="666"/>
      <c r="AN75" s="666"/>
      <c r="AO75" s="666"/>
      <c r="AP75" s="666"/>
      <c r="AQ75" s="666"/>
      <c r="AR75" s="666"/>
      <c r="AS75" s="666"/>
      <c r="AT75" s="666"/>
      <c r="AU75" s="666"/>
      <c r="AV75" s="666"/>
      <c r="AW75" s="666"/>
      <c r="AX75" s="666"/>
      <c r="AY75" s="666"/>
      <c r="AZ75" s="666"/>
    </row>
    <row r="76" spans="1:52" x14ac:dyDescent="0.2">
      <c r="A76" s="666"/>
      <c r="B76" s="666"/>
      <c r="C76" s="666"/>
      <c r="D76" s="666"/>
      <c r="E76" s="666"/>
      <c r="F76" s="666"/>
      <c r="G76" s="666"/>
      <c r="H76" s="666"/>
      <c r="I76" s="666"/>
      <c r="J76" s="666"/>
      <c r="K76" s="666"/>
      <c r="L76" s="666"/>
      <c r="M76" s="666"/>
      <c r="N76" s="666"/>
      <c r="O76" s="666"/>
      <c r="P76" s="666"/>
      <c r="Q76" s="666"/>
      <c r="R76" s="666"/>
      <c r="S76" s="666"/>
      <c r="T76" s="666"/>
      <c r="U76" s="666"/>
      <c r="V76" s="666"/>
      <c r="W76" s="666"/>
      <c r="X76" s="666"/>
      <c r="Y76" s="666"/>
      <c r="Z76" s="666"/>
      <c r="AA76" s="666"/>
      <c r="AB76" s="666"/>
      <c r="AC76" s="666"/>
      <c r="AD76" s="666"/>
      <c r="AE76" s="666"/>
      <c r="AF76" s="666"/>
      <c r="AG76" s="666"/>
      <c r="AH76" s="666"/>
      <c r="AI76" s="666"/>
      <c r="AJ76" s="666"/>
      <c r="AK76" s="666"/>
      <c r="AL76" s="666"/>
      <c r="AM76" s="666"/>
      <c r="AN76" s="666"/>
      <c r="AO76" s="666"/>
      <c r="AP76" s="666"/>
      <c r="AQ76" s="666"/>
      <c r="AR76" s="666"/>
      <c r="AS76" s="666"/>
      <c r="AT76" s="666"/>
      <c r="AU76" s="666"/>
      <c r="AV76" s="666"/>
      <c r="AW76" s="666"/>
      <c r="AX76" s="666"/>
      <c r="AY76" s="666"/>
      <c r="AZ76" s="666"/>
    </row>
    <row r="77" spans="1:52" x14ac:dyDescent="0.2">
      <c r="A77" s="666"/>
      <c r="B77" s="666"/>
      <c r="C77" s="666"/>
      <c r="D77" s="666"/>
      <c r="E77" s="666"/>
      <c r="F77" s="666"/>
      <c r="G77" s="666"/>
      <c r="H77" s="666"/>
      <c r="I77" s="666"/>
      <c r="J77" s="666"/>
      <c r="K77" s="666"/>
      <c r="L77" s="666"/>
      <c r="M77" s="666"/>
      <c r="N77" s="666"/>
      <c r="O77" s="666"/>
      <c r="P77" s="666"/>
      <c r="Q77" s="666"/>
      <c r="R77" s="666"/>
      <c r="S77" s="666"/>
      <c r="T77" s="666"/>
      <c r="U77" s="666"/>
      <c r="V77" s="666"/>
      <c r="W77" s="666"/>
      <c r="X77" s="666"/>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6"/>
      <c r="AV77" s="666"/>
      <c r="AW77" s="666"/>
      <c r="AX77" s="666"/>
      <c r="AY77" s="666"/>
      <c r="AZ77" s="666"/>
    </row>
    <row r="78" spans="1:52" x14ac:dyDescent="0.2">
      <c r="A78" s="666"/>
      <c r="B78" s="666"/>
      <c r="C78" s="666"/>
      <c r="D78" s="666"/>
      <c r="E78" s="666"/>
      <c r="F78" s="666"/>
      <c r="G78" s="666"/>
      <c r="H78" s="666"/>
      <c r="I78" s="666"/>
      <c r="J78" s="666"/>
      <c r="K78" s="666"/>
      <c r="L78" s="666"/>
      <c r="M78" s="666"/>
      <c r="N78" s="666"/>
      <c r="O78" s="666"/>
      <c r="P78" s="666"/>
      <c r="Q78" s="666"/>
      <c r="R78" s="666"/>
      <c r="S78" s="666"/>
      <c r="T78" s="666"/>
      <c r="U78" s="666"/>
      <c r="V78" s="666"/>
      <c r="W78" s="666"/>
      <c r="X78" s="666"/>
      <c r="Y78" s="666"/>
      <c r="Z78" s="666"/>
      <c r="AA78" s="666"/>
      <c r="AB78" s="666"/>
      <c r="AC78" s="666"/>
      <c r="AD78" s="666"/>
      <c r="AE78" s="666"/>
      <c r="AF78" s="666"/>
      <c r="AG78" s="666"/>
      <c r="AH78" s="666"/>
      <c r="AI78" s="666"/>
      <c r="AJ78" s="666"/>
      <c r="AK78" s="666"/>
      <c r="AL78" s="666"/>
      <c r="AM78" s="666"/>
      <c r="AN78" s="666"/>
      <c r="AO78" s="666"/>
      <c r="AP78" s="666"/>
      <c r="AQ78" s="666"/>
      <c r="AR78" s="666"/>
      <c r="AS78" s="666"/>
      <c r="AT78" s="666"/>
      <c r="AU78" s="666"/>
      <c r="AV78" s="666"/>
      <c r="AW78" s="666"/>
      <c r="AX78" s="666"/>
      <c r="AY78" s="666"/>
      <c r="AZ78" s="666"/>
    </row>
    <row r="79" spans="1:52" x14ac:dyDescent="0.2">
      <c r="A79" s="666"/>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row>
    <row r="80" spans="1:52" x14ac:dyDescent="0.2">
      <c r="A80" s="666"/>
      <c r="B80" s="666"/>
      <c r="C80" s="666"/>
      <c r="D80" s="666"/>
      <c r="E80" s="666"/>
      <c r="F80" s="666"/>
      <c r="G80" s="666"/>
      <c r="H80" s="666"/>
      <c r="I80" s="666"/>
      <c r="J80" s="666"/>
      <c r="K80" s="666"/>
      <c r="L80" s="666"/>
      <c r="M80" s="666"/>
      <c r="N80" s="666"/>
      <c r="O80" s="666"/>
      <c r="P80" s="666"/>
      <c r="Q80" s="666"/>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row>
    <row r="81" spans="1:52" x14ac:dyDescent="0.2">
      <c r="A81" s="666"/>
      <c r="B81" s="666"/>
      <c r="C81" s="666"/>
      <c r="D81" s="666"/>
      <c r="E81" s="666"/>
      <c r="F81" s="666"/>
      <c r="G81" s="666"/>
      <c r="H81" s="666"/>
      <c r="I81" s="666"/>
      <c r="J81" s="666"/>
      <c r="K81" s="666"/>
      <c r="L81" s="666"/>
      <c r="M81" s="666"/>
      <c r="N81" s="666"/>
      <c r="O81" s="666"/>
      <c r="P81" s="666"/>
      <c r="Q81" s="666"/>
      <c r="R81" s="666"/>
      <c r="S81" s="666"/>
      <c r="T81" s="666"/>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6"/>
    </row>
    <row r="82" spans="1:52" x14ac:dyDescent="0.2">
      <c r="A82" s="666"/>
      <c r="B82" s="666"/>
      <c r="C82" s="666"/>
      <c r="D82" s="666"/>
      <c r="E82" s="666"/>
      <c r="F82" s="666"/>
      <c r="G82" s="666"/>
      <c r="H82" s="666"/>
      <c r="I82" s="666"/>
      <c r="J82" s="666"/>
      <c r="K82" s="666"/>
      <c r="L82" s="666"/>
      <c r="M82" s="666"/>
      <c r="N82" s="666"/>
      <c r="O82" s="666"/>
      <c r="P82" s="666"/>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row>
    <row r="83" spans="1:52" x14ac:dyDescent="0.2">
      <c r="A83" s="666"/>
      <c r="B83" s="666"/>
      <c r="C83" s="666"/>
      <c r="D83" s="666"/>
      <c r="E83" s="666"/>
      <c r="F83" s="666"/>
      <c r="G83" s="666"/>
      <c r="H83" s="666"/>
      <c r="I83" s="666"/>
      <c r="J83" s="666"/>
      <c r="K83" s="666"/>
      <c r="L83" s="666"/>
      <c r="M83" s="666"/>
      <c r="N83" s="666"/>
      <c r="O83" s="666"/>
      <c r="P83" s="666"/>
      <c r="Q83" s="666"/>
      <c r="R83" s="666"/>
      <c r="S83" s="666"/>
      <c r="T83" s="666"/>
      <c r="U83" s="666"/>
      <c r="V83" s="666"/>
      <c r="W83" s="666"/>
      <c r="X83" s="666"/>
      <c r="Y83" s="666"/>
      <c r="Z83" s="666"/>
      <c r="AA83" s="666"/>
      <c r="AB83" s="666"/>
      <c r="AC83" s="666"/>
      <c r="AD83" s="666"/>
      <c r="AE83" s="666"/>
      <c r="AF83" s="666"/>
      <c r="AG83" s="666"/>
      <c r="AH83" s="666"/>
      <c r="AI83" s="666"/>
      <c r="AJ83" s="666"/>
      <c r="AK83" s="666"/>
      <c r="AL83" s="666"/>
      <c r="AM83" s="666"/>
      <c r="AN83" s="666"/>
      <c r="AO83" s="666"/>
      <c r="AP83" s="666"/>
      <c r="AQ83" s="666"/>
      <c r="AR83" s="666"/>
      <c r="AS83" s="666"/>
      <c r="AT83" s="666"/>
      <c r="AU83" s="666"/>
      <c r="AV83" s="666"/>
      <c r="AW83" s="666"/>
      <c r="AX83" s="666"/>
      <c r="AY83" s="666"/>
      <c r="AZ83" s="666"/>
    </row>
    <row r="84" spans="1:52" x14ac:dyDescent="0.2">
      <c r="A84" s="666"/>
      <c r="B84" s="666"/>
      <c r="C84" s="666"/>
      <c r="D84" s="666"/>
      <c r="E84" s="666"/>
      <c r="F84" s="666"/>
      <c r="G84" s="666"/>
      <c r="H84" s="666"/>
      <c r="I84" s="666"/>
      <c r="J84" s="666"/>
      <c r="K84" s="666"/>
      <c r="L84" s="666"/>
      <c r="M84" s="666"/>
      <c r="N84" s="666"/>
      <c r="O84" s="666"/>
      <c r="P84" s="666"/>
      <c r="Q84" s="666"/>
      <c r="R84" s="666"/>
      <c r="S84" s="666"/>
      <c r="T84" s="666"/>
      <c r="U84" s="666"/>
      <c r="V84" s="666"/>
      <c r="W84" s="666"/>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6"/>
    </row>
    <row r="85" spans="1:52" x14ac:dyDescent="0.2">
      <c r="A85" s="666"/>
      <c r="B85" s="666"/>
      <c r="C85" s="666"/>
      <c r="D85" s="666"/>
      <c r="E85" s="666"/>
      <c r="F85" s="666"/>
      <c r="G85" s="666"/>
      <c r="H85" s="666"/>
      <c r="I85" s="666"/>
      <c r="J85" s="666"/>
      <c r="K85" s="666"/>
      <c r="L85" s="666"/>
      <c r="M85" s="666"/>
      <c r="N85" s="666"/>
      <c r="O85" s="666"/>
      <c r="P85" s="666"/>
      <c r="Q85" s="666"/>
      <c r="R85" s="666"/>
      <c r="S85" s="666"/>
      <c r="T85" s="666"/>
      <c r="U85" s="666"/>
      <c r="V85" s="666"/>
      <c r="W85" s="666"/>
      <c r="X85" s="666"/>
      <c r="Y85" s="666"/>
      <c r="Z85" s="666"/>
      <c r="AA85" s="666"/>
      <c r="AB85" s="666"/>
      <c r="AC85" s="666"/>
      <c r="AD85" s="666"/>
      <c r="AE85" s="666"/>
      <c r="AF85" s="666"/>
      <c r="AG85" s="666"/>
      <c r="AH85" s="666"/>
      <c r="AI85" s="666"/>
      <c r="AJ85" s="666"/>
      <c r="AK85" s="666"/>
      <c r="AL85" s="666"/>
      <c r="AM85" s="666"/>
      <c r="AN85" s="666"/>
      <c r="AO85" s="666"/>
      <c r="AP85" s="666"/>
      <c r="AQ85" s="666"/>
      <c r="AR85" s="666"/>
      <c r="AS85" s="666"/>
      <c r="AT85" s="666"/>
      <c r="AU85" s="666"/>
      <c r="AV85" s="666"/>
      <c r="AW85" s="666"/>
      <c r="AX85" s="666"/>
      <c r="AY85" s="666"/>
      <c r="AZ85" s="666"/>
    </row>
    <row r="86" spans="1:52" x14ac:dyDescent="0.2">
      <c r="A86" s="666"/>
      <c r="B86" s="666"/>
      <c r="C86" s="666"/>
      <c r="D86" s="666"/>
      <c r="E86" s="666"/>
      <c r="F86" s="666"/>
      <c r="G86" s="666"/>
      <c r="H86" s="666"/>
      <c r="I86" s="666"/>
      <c r="J86" s="666"/>
      <c r="K86" s="666"/>
      <c r="L86" s="666"/>
      <c r="M86" s="666"/>
      <c r="N86" s="666"/>
      <c r="O86" s="666"/>
      <c r="P86" s="666"/>
      <c r="Q86" s="666"/>
      <c r="R86" s="666"/>
      <c r="S86" s="666"/>
      <c r="T86" s="666"/>
      <c r="U86" s="666"/>
      <c r="V86" s="666"/>
      <c r="W86" s="666"/>
      <c r="X86" s="666"/>
      <c r="Y86" s="666"/>
      <c r="Z86" s="666"/>
      <c r="AA86" s="666"/>
      <c r="AB86" s="666"/>
      <c r="AC86" s="666"/>
      <c r="AD86" s="666"/>
      <c r="AE86" s="666"/>
      <c r="AF86" s="666"/>
      <c r="AG86" s="666"/>
      <c r="AH86" s="666"/>
      <c r="AI86" s="666"/>
      <c r="AJ86" s="666"/>
      <c r="AK86" s="666"/>
      <c r="AL86" s="666"/>
      <c r="AM86" s="666"/>
      <c r="AN86" s="666"/>
      <c r="AO86" s="666"/>
      <c r="AP86" s="666"/>
      <c r="AQ86" s="666"/>
      <c r="AR86" s="666"/>
      <c r="AS86" s="666"/>
      <c r="AT86" s="666"/>
      <c r="AU86" s="666"/>
      <c r="AV86" s="666"/>
      <c r="AW86" s="666"/>
      <c r="AX86" s="666"/>
      <c r="AY86" s="666"/>
      <c r="AZ86" s="666"/>
    </row>
    <row r="87" spans="1:52" x14ac:dyDescent="0.2">
      <c r="A87" s="666"/>
      <c r="B87" s="666"/>
      <c r="C87" s="666"/>
      <c r="D87" s="666"/>
      <c r="E87" s="666"/>
      <c r="F87" s="666"/>
      <c r="G87" s="666"/>
      <c r="H87" s="666"/>
      <c r="I87" s="666"/>
      <c r="J87" s="666"/>
      <c r="K87" s="666"/>
      <c r="L87" s="666"/>
      <c r="M87" s="666"/>
      <c r="N87" s="666"/>
      <c r="O87" s="666"/>
      <c r="P87" s="666"/>
      <c r="Q87" s="666"/>
      <c r="R87" s="666"/>
      <c r="S87" s="666"/>
      <c r="T87" s="666"/>
      <c r="U87" s="666"/>
      <c r="V87" s="666"/>
      <c r="W87" s="666"/>
      <c r="X87" s="666"/>
      <c r="Y87" s="666"/>
      <c r="Z87" s="666"/>
      <c r="AA87" s="666"/>
      <c r="AB87" s="666"/>
      <c r="AC87" s="666"/>
      <c r="AD87" s="666"/>
      <c r="AE87" s="666"/>
      <c r="AF87" s="666"/>
      <c r="AG87" s="666"/>
      <c r="AH87" s="666"/>
      <c r="AI87" s="666"/>
      <c r="AJ87" s="666"/>
      <c r="AK87" s="666"/>
      <c r="AL87" s="666"/>
      <c r="AM87" s="666"/>
      <c r="AN87" s="666"/>
      <c r="AO87" s="666"/>
      <c r="AP87" s="666"/>
      <c r="AQ87" s="666"/>
      <c r="AR87" s="666"/>
      <c r="AS87" s="666"/>
      <c r="AT87" s="666"/>
      <c r="AU87" s="666"/>
      <c r="AV87" s="666"/>
      <c r="AW87" s="666"/>
      <c r="AX87" s="666"/>
      <c r="AY87" s="666"/>
      <c r="AZ87" s="666"/>
    </row>
    <row r="88" spans="1:52" x14ac:dyDescent="0.2">
      <c r="A88" s="666"/>
      <c r="B88" s="666"/>
      <c r="C88" s="666"/>
      <c r="D88" s="666"/>
      <c r="E88" s="666"/>
      <c r="F88" s="666"/>
      <c r="G88" s="666"/>
      <c r="H88" s="666"/>
      <c r="I88" s="666"/>
      <c r="J88" s="666"/>
      <c r="K88" s="666"/>
      <c r="L88" s="666"/>
      <c r="M88" s="666"/>
      <c r="N88" s="666"/>
      <c r="O88" s="666"/>
      <c r="P88" s="666"/>
      <c r="Q88" s="666"/>
      <c r="R88" s="666"/>
      <c r="S88" s="666"/>
      <c r="T88" s="666"/>
      <c r="U88" s="666"/>
      <c r="V88" s="666"/>
      <c r="W88" s="666"/>
      <c r="X88" s="666"/>
      <c r="Y88" s="666"/>
      <c r="Z88" s="666"/>
      <c r="AA88" s="666"/>
      <c r="AB88" s="666"/>
      <c r="AC88" s="666"/>
      <c r="AD88" s="666"/>
      <c r="AE88" s="666"/>
      <c r="AF88" s="666"/>
      <c r="AG88" s="666"/>
      <c r="AH88" s="666"/>
      <c r="AI88" s="666"/>
      <c r="AJ88" s="666"/>
      <c r="AK88" s="666"/>
      <c r="AL88" s="666"/>
      <c r="AM88" s="666"/>
      <c r="AN88" s="666"/>
      <c r="AO88" s="666"/>
      <c r="AP88" s="666"/>
      <c r="AQ88" s="666"/>
      <c r="AR88" s="666"/>
      <c r="AS88" s="666"/>
      <c r="AT88" s="666"/>
      <c r="AU88" s="666"/>
      <c r="AV88" s="666"/>
      <c r="AW88" s="666"/>
      <c r="AX88" s="666"/>
      <c r="AY88" s="666"/>
      <c r="AZ88" s="666"/>
    </row>
    <row r="89" spans="1:52" x14ac:dyDescent="0.2">
      <c r="A89" s="666"/>
      <c r="B89" s="666"/>
      <c r="C89" s="666"/>
      <c r="D89" s="666"/>
      <c r="E89" s="666"/>
      <c r="F89" s="666"/>
      <c r="G89" s="666"/>
      <c r="H89" s="666"/>
      <c r="I89" s="666"/>
      <c r="J89" s="666"/>
      <c r="K89" s="666"/>
      <c r="L89" s="666"/>
      <c r="M89" s="666"/>
      <c r="N89" s="666"/>
      <c r="O89" s="666"/>
      <c r="P89" s="666"/>
      <c r="Q89" s="666"/>
      <c r="R89" s="666"/>
      <c r="S89" s="666"/>
      <c r="T89" s="666"/>
      <c r="U89" s="666"/>
      <c r="V89" s="666"/>
      <c r="W89" s="666"/>
      <c r="X89" s="666"/>
      <c r="Y89" s="666"/>
      <c r="Z89" s="666"/>
      <c r="AA89" s="666"/>
      <c r="AB89" s="666"/>
      <c r="AC89" s="666"/>
      <c r="AD89" s="666"/>
      <c r="AE89" s="666"/>
      <c r="AF89" s="666"/>
      <c r="AG89" s="666"/>
      <c r="AH89" s="666"/>
      <c r="AI89" s="666"/>
      <c r="AJ89" s="666"/>
      <c r="AK89" s="666"/>
      <c r="AL89" s="666"/>
      <c r="AM89" s="666"/>
      <c r="AN89" s="666"/>
      <c r="AO89" s="666"/>
      <c r="AP89" s="666"/>
      <c r="AQ89" s="666"/>
      <c r="AR89" s="666"/>
      <c r="AS89" s="666"/>
      <c r="AT89" s="666"/>
      <c r="AU89" s="666"/>
      <c r="AV89" s="666"/>
      <c r="AW89" s="666"/>
      <c r="AX89" s="666"/>
      <c r="AY89" s="666"/>
      <c r="AZ89" s="666"/>
    </row>
    <row r="90" spans="1:52" x14ac:dyDescent="0.2">
      <c r="A90" s="666"/>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row>
    <row r="91" spans="1:52" x14ac:dyDescent="0.2">
      <c r="A91" s="666"/>
      <c r="B91" s="666"/>
      <c r="C91" s="666"/>
      <c r="D91" s="666"/>
      <c r="E91" s="666"/>
      <c r="F91" s="666"/>
      <c r="G91" s="666"/>
      <c r="H91" s="666"/>
      <c r="I91" s="666"/>
      <c r="J91" s="666"/>
      <c r="K91" s="666"/>
      <c r="L91" s="666"/>
      <c r="M91" s="666"/>
      <c r="N91" s="666"/>
      <c r="O91" s="666"/>
      <c r="P91" s="666"/>
      <c r="Q91" s="666"/>
      <c r="R91" s="666"/>
      <c r="S91" s="666"/>
      <c r="T91" s="666"/>
      <c r="U91" s="666"/>
      <c r="V91" s="666"/>
      <c r="W91" s="666"/>
      <c r="X91" s="666"/>
      <c r="Y91" s="666"/>
      <c r="Z91" s="666"/>
      <c r="AA91" s="666"/>
      <c r="AB91" s="666"/>
      <c r="AC91" s="666"/>
      <c r="AD91" s="666"/>
      <c r="AE91" s="666"/>
      <c r="AF91" s="666"/>
      <c r="AG91" s="666"/>
      <c r="AH91" s="666"/>
      <c r="AI91" s="666"/>
      <c r="AJ91" s="666"/>
      <c r="AK91" s="666"/>
      <c r="AL91" s="666"/>
      <c r="AM91" s="666"/>
      <c r="AN91" s="666"/>
      <c r="AO91" s="666"/>
      <c r="AP91" s="666"/>
      <c r="AQ91" s="666"/>
      <c r="AR91" s="666"/>
      <c r="AS91" s="666"/>
      <c r="AT91" s="666"/>
      <c r="AU91" s="666"/>
      <c r="AV91" s="666"/>
      <c r="AW91" s="666"/>
      <c r="AX91" s="666"/>
      <c r="AY91" s="666"/>
      <c r="AZ91" s="666"/>
    </row>
    <row r="92" spans="1:52" x14ac:dyDescent="0.2">
      <c r="A92" s="666"/>
      <c r="B92" s="666"/>
      <c r="C92" s="666"/>
      <c r="D92" s="666"/>
      <c r="E92" s="666"/>
      <c r="F92" s="666"/>
      <c r="G92" s="666"/>
      <c r="H92" s="666"/>
      <c r="I92" s="666"/>
      <c r="J92" s="666"/>
      <c r="K92" s="666"/>
      <c r="L92" s="666"/>
      <c r="M92" s="666"/>
      <c r="N92" s="666"/>
      <c r="O92" s="666"/>
      <c r="P92" s="666"/>
      <c r="Q92" s="666"/>
      <c r="R92" s="666"/>
      <c r="S92" s="666"/>
      <c r="T92" s="666"/>
      <c r="U92" s="666"/>
      <c r="V92" s="666"/>
      <c r="W92" s="666"/>
      <c r="X92" s="666"/>
      <c r="Y92" s="666"/>
      <c r="Z92" s="666"/>
      <c r="AA92" s="666"/>
      <c r="AB92" s="666"/>
      <c r="AC92" s="666"/>
      <c r="AD92" s="666"/>
      <c r="AE92" s="666"/>
      <c r="AF92" s="666"/>
      <c r="AG92" s="666"/>
      <c r="AH92" s="666"/>
      <c r="AI92" s="666"/>
      <c r="AJ92" s="666"/>
      <c r="AK92" s="666"/>
      <c r="AL92" s="666"/>
      <c r="AM92" s="666"/>
      <c r="AN92" s="666"/>
      <c r="AO92" s="666"/>
      <c r="AP92" s="666"/>
      <c r="AQ92" s="666"/>
      <c r="AR92" s="666"/>
      <c r="AS92" s="666"/>
      <c r="AT92" s="666"/>
      <c r="AU92" s="666"/>
      <c r="AV92" s="666"/>
      <c r="AW92" s="666"/>
      <c r="AX92" s="666"/>
      <c r="AY92" s="666"/>
      <c r="AZ92" s="666"/>
    </row>
    <row r="93" spans="1:52" x14ac:dyDescent="0.2">
      <c r="A93" s="666"/>
      <c r="B93" s="666"/>
      <c r="C93" s="666"/>
      <c r="D93" s="666"/>
      <c r="E93" s="666"/>
      <c r="F93" s="666"/>
      <c r="G93" s="666"/>
      <c r="H93" s="666"/>
      <c r="I93" s="666"/>
      <c r="J93" s="666"/>
      <c r="K93" s="666"/>
      <c r="L93" s="666"/>
      <c r="M93" s="666"/>
      <c r="N93" s="666"/>
      <c r="O93" s="666"/>
      <c r="P93" s="666"/>
      <c r="Q93" s="666"/>
      <c r="R93" s="666"/>
      <c r="S93" s="666"/>
      <c r="T93" s="666"/>
      <c r="U93" s="666"/>
      <c r="V93" s="666"/>
      <c r="W93" s="666"/>
      <c r="X93" s="666"/>
      <c r="Y93" s="666"/>
      <c r="Z93" s="666"/>
      <c r="AA93" s="666"/>
      <c r="AB93" s="666"/>
      <c r="AC93" s="666"/>
      <c r="AD93" s="666"/>
      <c r="AE93" s="666"/>
      <c r="AF93" s="666"/>
      <c r="AG93" s="666"/>
      <c r="AH93" s="666"/>
      <c r="AI93" s="666"/>
      <c r="AJ93" s="666"/>
      <c r="AK93" s="666"/>
      <c r="AL93" s="666"/>
      <c r="AM93" s="666"/>
      <c r="AN93" s="666"/>
      <c r="AO93" s="666"/>
      <c r="AP93" s="666"/>
      <c r="AQ93" s="666"/>
      <c r="AR93" s="666"/>
      <c r="AS93" s="666"/>
      <c r="AT93" s="666"/>
      <c r="AU93" s="666"/>
      <c r="AV93" s="666"/>
      <c r="AW93" s="666"/>
      <c r="AX93" s="666"/>
      <c r="AY93" s="666"/>
      <c r="AZ93" s="666"/>
    </row>
    <row r="94" spans="1:52" x14ac:dyDescent="0.2">
      <c r="A94" s="666"/>
      <c r="B94" s="666"/>
      <c r="C94" s="666"/>
      <c r="D94" s="666"/>
      <c r="E94" s="666"/>
      <c r="F94" s="666"/>
      <c r="G94" s="666"/>
      <c r="H94" s="666"/>
      <c r="I94" s="666"/>
      <c r="J94" s="666"/>
      <c r="K94" s="666"/>
      <c r="L94" s="666"/>
      <c r="M94" s="666"/>
      <c r="N94" s="666"/>
      <c r="O94" s="666"/>
      <c r="P94" s="666"/>
      <c r="Q94" s="666"/>
      <c r="R94" s="666"/>
      <c r="S94" s="666"/>
      <c r="T94" s="666"/>
      <c r="U94" s="666"/>
      <c r="V94" s="666"/>
      <c r="W94" s="666"/>
      <c r="X94" s="666"/>
      <c r="Y94" s="666"/>
      <c r="Z94" s="666"/>
      <c r="AA94" s="666"/>
      <c r="AB94" s="666"/>
      <c r="AC94" s="666"/>
      <c r="AD94" s="666"/>
      <c r="AE94" s="666"/>
      <c r="AF94" s="666"/>
      <c r="AG94" s="666"/>
      <c r="AH94" s="666"/>
      <c r="AI94" s="666"/>
      <c r="AJ94" s="666"/>
      <c r="AK94" s="666"/>
      <c r="AL94" s="666"/>
      <c r="AM94" s="666"/>
      <c r="AN94" s="666"/>
      <c r="AO94" s="666"/>
      <c r="AP94" s="666"/>
      <c r="AQ94" s="666"/>
      <c r="AR94" s="666"/>
      <c r="AS94" s="666"/>
      <c r="AT94" s="666"/>
      <c r="AU94" s="666"/>
      <c r="AV94" s="666"/>
      <c r="AW94" s="666"/>
      <c r="AX94" s="666"/>
      <c r="AY94" s="666"/>
      <c r="AZ94" s="666"/>
    </row>
    <row r="95" spans="1:52" x14ac:dyDescent="0.2">
      <c r="A95" s="666"/>
      <c r="B95" s="666"/>
      <c r="C95" s="666"/>
      <c r="D95" s="666"/>
      <c r="E95" s="666"/>
      <c r="F95" s="666"/>
      <c r="G95" s="666"/>
      <c r="H95" s="666"/>
      <c r="I95" s="666"/>
      <c r="J95" s="666"/>
      <c r="K95" s="666"/>
      <c r="L95" s="666"/>
      <c r="M95" s="666"/>
      <c r="N95" s="666"/>
      <c r="O95" s="666"/>
      <c r="P95" s="666"/>
      <c r="Q95" s="666"/>
      <c r="R95" s="666"/>
      <c r="S95" s="666"/>
      <c r="T95" s="666"/>
      <c r="U95" s="666"/>
      <c r="V95" s="666"/>
      <c r="W95" s="666"/>
      <c r="X95" s="666"/>
      <c r="Y95" s="666"/>
      <c r="Z95" s="666"/>
      <c r="AA95" s="666"/>
      <c r="AB95" s="666"/>
      <c r="AC95" s="666"/>
      <c r="AD95" s="666"/>
      <c r="AE95" s="666"/>
      <c r="AF95" s="666"/>
      <c r="AG95" s="666"/>
      <c r="AH95" s="666"/>
      <c r="AI95" s="666"/>
      <c r="AJ95" s="666"/>
      <c r="AK95" s="666"/>
      <c r="AL95" s="666"/>
      <c r="AM95" s="666"/>
      <c r="AN95" s="666"/>
      <c r="AO95" s="666"/>
      <c r="AP95" s="666"/>
      <c r="AQ95" s="666"/>
      <c r="AR95" s="666"/>
      <c r="AS95" s="666"/>
      <c r="AT95" s="666"/>
      <c r="AU95" s="666"/>
      <c r="AV95" s="666"/>
      <c r="AW95" s="666"/>
      <c r="AX95" s="666"/>
      <c r="AY95" s="666"/>
      <c r="AZ95" s="666"/>
    </row>
    <row r="96" spans="1:52" x14ac:dyDescent="0.2">
      <c r="A96" s="666"/>
      <c r="B96" s="666"/>
      <c r="C96" s="666"/>
      <c r="D96" s="666"/>
      <c r="E96" s="666"/>
      <c r="F96" s="666"/>
      <c r="G96" s="666"/>
      <c r="H96" s="666"/>
      <c r="I96" s="666"/>
      <c r="J96" s="666"/>
      <c r="K96" s="666"/>
      <c r="L96" s="666"/>
      <c r="M96" s="666"/>
      <c r="N96" s="666"/>
      <c r="O96" s="666"/>
      <c r="P96" s="666"/>
      <c r="Q96" s="666"/>
      <c r="R96" s="666"/>
      <c r="S96" s="666"/>
      <c r="T96" s="666"/>
      <c r="U96" s="666"/>
      <c r="V96" s="666"/>
      <c r="W96" s="666"/>
      <c r="X96" s="666"/>
      <c r="Y96" s="666"/>
      <c r="Z96" s="666"/>
      <c r="AA96" s="666"/>
      <c r="AB96" s="666"/>
      <c r="AC96" s="666"/>
      <c r="AD96" s="666"/>
      <c r="AE96" s="666"/>
      <c r="AF96" s="666"/>
      <c r="AG96" s="666"/>
      <c r="AH96" s="666"/>
      <c r="AI96" s="666"/>
      <c r="AJ96" s="666"/>
      <c r="AK96" s="666"/>
      <c r="AL96" s="666"/>
      <c r="AM96" s="666"/>
      <c r="AN96" s="666"/>
      <c r="AO96" s="666"/>
      <c r="AP96" s="666"/>
      <c r="AQ96" s="666"/>
      <c r="AR96" s="666"/>
      <c r="AS96" s="666"/>
      <c r="AT96" s="666"/>
      <c r="AU96" s="666"/>
      <c r="AV96" s="666"/>
      <c r="AW96" s="666"/>
      <c r="AX96" s="666"/>
      <c r="AY96" s="666"/>
      <c r="AZ96" s="666"/>
    </row>
    <row r="97" spans="1:52" x14ac:dyDescent="0.2">
      <c r="A97" s="666"/>
      <c r="B97" s="666"/>
      <c r="C97" s="666"/>
      <c r="D97" s="666"/>
      <c r="E97" s="666"/>
      <c r="F97" s="666"/>
      <c r="G97" s="666"/>
      <c r="H97" s="666"/>
      <c r="I97" s="666"/>
      <c r="J97" s="666"/>
      <c r="K97" s="666"/>
      <c r="L97" s="666"/>
      <c r="M97" s="666"/>
      <c r="N97" s="666"/>
      <c r="O97" s="666"/>
      <c r="P97" s="666"/>
      <c r="Q97" s="666"/>
      <c r="R97" s="666"/>
      <c r="S97" s="666"/>
      <c r="T97" s="666"/>
      <c r="U97" s="666"/>
      <c r="V97" s="666"/>
      <c r="W97" s="666"/>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666"/>
      <c r="AW97" s="666"/>
      <c r="AX97" s="666"/>
      <c r="AY97" s="666"/>
      <c r="AZ97" s="666"/>
    </row>
    <row r="98" spans="1:52" x14ac:dyDescent="0.2">
      <c r="A98" s="666"/>
      <c r="B98" s="666"/>
      <c r="C98" s="666"/>
      <c r="D98" s="666"/>
      <c r="E98" s="666"/>
      <c r="F98" s="666"/>
      <c r="G98" s="666"/>
      <c r="H98" s="666"/>
      <c r="I98" s="666"/>
      <c r="J98" s="666"/>
      <c r="K98" s="666"/>
      <c r="L98" s="666"/>
      <c r="M98" s="666"/>
      <c r="N98" s="666"/>
      <c r="O98" s="666"/>
      <c r="P98" s="666"/>
      <c r="Q98" s="666"/>
      <c r="R98" s="666"/>
      <c r="S98" s="666"/>
      <c r="T98" s="666"/>
      <c r="U98" s="666"/>
      <c r="V98" s="666"/>
      <c r="W98" s="666"/>
      <c r="X98" s="666"/>
      <c r="Y98" s="666"/>
      <c r="Z98" s="666"/>
      <c r="AA98" s="666"/>
      <c r="AB98" s="666"/>
      <c r="AC98" s="666"/>
      <c r="AD98" s="666"/>
      <c r="AE98" s="666"/>
      <c r="AF98" s="666"/>
      <c r="AG98" s="666"/>
      <c r="AH98" s="666"/>
      <c r="AI98" s="666"/>
      <c r="AJ98" s="666"/>
      <c r="AK98" s="666"/>
      <c r="AL98" s="666"/>
      <c r="AM98" s="666"/>
      <c r="AN98" s="666"/>
      <c r="AO98" s="666"/>
      <c r="AP98" s="666"/>
      <c r="AQ98" s="666"/>
      <c r="AR98" s="666"/>
      <c r="AS98" s="666"/>
      <c r="AT98" s="666"/>
      <c r="AU98" s="666"/>
      <c r="AV98" s="666"/>
      <c r="AW98" s="666"/>
      <c r="AX98" s="666"/>
      <c r="AY98" s="666"/>
      <c r="AZ98" s="666"/>
    </row>
    <row r="99" spans="1:52" x14ac:dyDescent="0.2">
      <c r="A99" s="666"/>
      <c r="B99" s="666"/>
      <c r="C99" s="666"/>
      <c r="D99" s="666"/>
      <c r="E99" s="666"/>
      <c r="F99" s="666"/>
      <c r="G99" s="666"/>
      <c r="H99" s="666"/>
      <c r="I99" s="666"/>
      <c r="J99" s="666"/>
      <c r="K99" s="666"/>
      <c r="L99" s="666"/>
      <c r="M99" s="666"/>
      <c r="N99" s="666"/>
      <c r="O99" s="666"/>
      <c r="P99" s="666"/>
      <c r="Q99" s="666"/>
      <c r="R99" s="666"/>
      <c r="S99" s="666"/>
      <c r="T99" s="666"/>
      <c r="U99" s="666"/>
      <c r="V99" s="666"/>
      <c r="W99" s="666"/>
      <c r="X99" s="666"/>
      <c r="Y99" s="666"/>
      <c r="Z99" s="666"/>
      <c r="AA99" s="666"/>
      <c r="AB99" s="666"/>
      <c r="AC99" s="666"/>
      <c r="AD99" s="666"/>
      <c r="AE99" s="666"/>
      <c r="AF99" s="666"/>
      <c r="AG99" s="666"/>
      <c r="AH99" s="666"/>
      <c r="AI99" s="666"/>
      <c r="AJ99" s="666"/>
      <c r="AK99" s="666"/>
      <c r="AL99" s="666"/>
      <c r="AM99" s="666"/>
      <c r="AN99" s="666"/>
      <c r="AO99" s="666"/>
      <c r="AP99" s="666"/>
      <c r="AQ99" s="666"/>
      <c r="AR99" s="666"/>
      <c r="AS99" s="666"/>
      <c r="AT99" s="666"/>
      <c r="AU99" s="666"/>
      <c r="AV99" s="666"/>
      <c r="AW99" s="666"/>
      <c r="AX99" s="666"/>
      <c r="AY99" s="666"/>
      <c r="AZ99" s="666"/>
    </row>
    <row r="100" spans="1:52" x14ac:dyDescent="0.2">
      <c r="A100" s="666"/>
      <c r="B100" s="666"/>
      <c r="C100" s="666"/>
      <c r="D100" s="666"/>
      <c r="E100" s="666"/>
      <c r="F100" s="666"/>
      <c r="G100" s="666"/>
      <c r="H100" s="666"/>
      <c r="I100" s="666"/>
      <c r="J100" s="666"/>
      <c r="K100" s="666"/>
      <c r="L100" s="666"/>
      <c r="M100" s="666"/>
      <c r="N100" s="666"/>
      <c r="O100" s="666"/>
      <c r="P100" s="666"/>
      <c r="Q100" s="666"/>
      <c r="R100" s="666"/>
      <c r="S100" s="666"/>
      <c r="T100" s="666"/>
      <c r="U100" s="666"/>
      <c r="V100" s="666"/>
      <c r="W100" s="666"/>
      <c r="X100" s="666"/>
      <c r="Y100" s="666"/>
      <c r="Z100" s="666"/>
      <c r="AA100" s="666"/>
      <c r="AB100" s="666"/>
      <c r="AC100" s="666"/>
      <c r="AD100" s="666"/>
      <c r="AE100" s="666"/>
      <c r="AF100" s="666"/>
      <c r="AG100" s="666"/>
      <c r="AH100" s="666"/>
      <c r="AI100" s="666"/>
      <c r="AJ100" s="666"/>
      <c r="AK100" s="666"/>
      <c r="AL100" s="666"/>
      <c r="AM100" s="666"/>
      <c r="AN100" s="666"/>
      <c r="AO100" s="666"/>
      <c r="AP100" s="666"/>
      <c r="AQ100" s="666"/>
      <c r="AR100" s="666"/>
      <c r="AS100" s="666"/>
      <c r="AT100" s="666"/>
      <c r="AU100" s="666"/>
      <c r="AV100" s="666"/>
      <c r="AW100" s="666"/>
      <c r="AX100" s="666"/>
      <c r="AY100" s="666"/>
      <c r="AZ100" s="666"/>
    </row>
    <row r="101" spans="1:52" x14ac:dyDescent="0.2">
      <c r="A101" s="666"/>
      <c r="B101" s="666"/>
      <c r="C101" s="666"/>
      <c r="D101" s="666"/>
      <c r="E101" s="666"/>
      <c r="F101" s="666"/>
      <c r="G101" s="666"/>
      <c r="H101" s="666"/>
      <c r="I101" s="666"/>
      <c r="J101" s="666"/>
      <c r="K101" s="666"/>
      <c r="L101" s="666"/>
      <c r="M101" s="666"/>
      <c r="N101" s="666"/>
      <c r="O101" s="666"/>
      <c r="P101" s="666"/>
      <c r="Q101" s="666"/>
      <c r="R101" s="666"/>
      <c r="S101" s="666"/>
      <c r="T101" s="666"/>
      <c r="U101" s="666"/>
      <c r="V101" s="666"/>
      <c r="W101" s="666"/>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6"/>
      <c r="AV101" s="666"/>
      <c r="AW101" s="666"/>
      <c r="AX101" s="666"/>
      <c r="AY101" s="666"/>
      <c r="AZ101" s="666"/>
    </row>
    <row r="102" spans="1:52" x14ac:dyDescent="0.2">
      <c r="A102" s="666"/>
      <c r="B102" s="666"/>
      <c r="C102" s="666"/>
      <c r="D102" s="666"/>
      <c r="E102" s="666"/>
      <c r="F102" s="666"/>
      <c r="G102" s="666"/>
      <c r="H102" s="666"/>
      <c r="I102" s="666"/>
      <c r="J102" s="666"/>
      <c r="K102" s="666"/>
      <c r="L102" s="666"/>
      <c r="M102" s="666"/>
      <c r="N102" s="666"/>
      <c r="O102" s="666"/>
      <c r="P102" s="666"/>
      <c r="Q102" s="666"/>
      <c r="R102" s="666"/>
      <c r="S102" s="666"/>
      <c r="T102" s="666"/>
      <c r="U102" s="666"/>
      <c r="V102" s="666"/>
      <c r="W102" s="666"/>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row>
    <row r="103" spans="1:52" x14ac:dyDescent="0.2">
      <c r="A103" s="666"/>
      <c r="B103" s="666"/>
      <c r="C103" s="666"/>
      <c r="D103" s="666"/>
      <c r="E103" s="666"/>
      <c r="F103" s="666"/>
      <c r="G103" s="666"/>
      <c r="H103" s="666"/>
      <c r="I103" s="666"/>
      <c r="J103" s="666"/>
      <c r="K103" s="666"/>
      <c r="L103" s="666"/>
      <c r="M103" s="666"/>
      <c r="N103" s="666"/>
      <c r="O103" s="666"/>
      <c r="P103" s="666"/>
      <c r="Q103" s="666"/>
      <c r="R103" s="666"/>
      <c r="S103" s="666"/>
      <c r="T103" s="666"/>
      <c r="U103" s="666"/>
      <c r="V103" s="666"/>
      <c r="W103" s="666"/>
      <c r="X103" s="666"/>
      <c r="Y103" s="666"/>
      <c r="Z103" s="666"/>
      <c r="AA103" s="666"/>
      <c r="AB103" s="666"/>
      <c r="AC103" s="666"/>
      <c r="AD103" s="666"/>
      <c r="AE103" s="666"/>
      <c r="AF103" s="666"/>
      <c r="AG103" s="666"/>
      <c r="AH103" s="666"/>
      <c r="AI103" s="666"/>
      <c r="AJ103" s="666"/>
      <c r="AK103" s="666"/>
      <c r="AL103" s="666"/>
      <c r="AM103" s="666"/>
      <c r="AN103" s="666"/>
      <c r="AO103" s="666"/>
      <c r="AP103" s="666"/>
      <c r="AQ103" s="666"/>
      <c r="AR103" s="666"/>
      <c r="AS103" s="666"/>
      <c r="AT103" s="666"/>
      <c r="AU103" s="666"/>
      <c r="AV103" s="666"/>
      <c r="AW103" s="666"/>
      <c r="AX103" s="666"/>
      <c r="AY103" s="666"/>
      <c r="AZ103" s="666"/>
    </row>
    <row r="104" spans="1:52" x14ac:dyDescent="0.2">
      <c r="A104" s="666"/>
      <c r="B104" s="666"/>
      <c r="C104" s="666"/>
      <c r="D104" s="666"/>
      <c r="E104" s="666"/>
      <c r="F104" s="666"/>
      <c r="G104" s="666"/>
      <c r="H104" s="666"/>
      <c r="I104" s="666"/>
      <c r="J104" s="666"/>
      <c r="K104" s="666"/>
      <c r="L104" s="666"/>
      <c r="M104" s="666"/>
      <c r="N104" s="666"/>
      <c r="O104" s="666"/>
      <c r="P104" s="666"/>
      <c r="Q104" s="666"/>
      <c r="R104" s="666"/>
      <c r="S104" s="666"/>
      <c r="T104" s="666"/>
      <c r="U104" s="666"/>
      <c r="V104" s="666"/>
      <c r="W104" s="666"/>
      <c r="X104" s="666"/>
      <c r="Y104" s="666"/>
      <c r="Z104" s="666"/>
      <c r="AA104" s="666"/>
      <c r="AB104" s="666"/>
      <c r="AC104" s="666"/>
      <c r="AD104" s="666"/>
      <c r="AE104" s="666"/>
      <c r="AF104" s="666"/>
      <c r="AG104" s="666"/>
      <c r="AH104" s="666"/>
      <c r="AI104" s="666"/>
      <c r="AJ104" s="666"/>
      <c r="AK104" s="666"/>
      <c r="AL104" s="666"/>
      <c r="AM104" s="666"/>
      <c r="AN104" s="666"/>
      <c r="AO104" s="666"/>
      <c r="AP104" s="666"/>
      <c r="AQ104" s="666"/>
      <c r="AR104" s="666"/>
      <c r="AS104" s="666"/>
      <c r="AT104" s="666"/>
      <c r="AU104" s="666"/>
      <c r="AV104" s="666"/>
      <c r="AW104" s="666"/>
      <c r="AX104" s="666"/>
      <c r="AY104" s="666"/>
      <c r="AZ104" s="666"/>
    </row>
    <row r="105" spans="1:52" x14ac:dyDescent="0.2">
      <c r="A105" s="666"/>
      <c r="B105" s="666"/>
      <c r="C105" s="666"/>
      <c r="D105" s="666"/>
      <c r="E105" s="666"/>
      <c r="F105" s="666"/>
      <c r="G105" s="666"/>
      <c r="H105" s="666"/>
      <c r="I105" s="666"/>
      <c r="J105" s="666"/>
      <c r="K105" s="666"/>
      <c r="L105" s="666"/>
      <c r="M105" s="666"/>
      <c r="N105" s="666"/>
      <c r="O105" s="666"/>
      <c r="P105" s="666"/>
      <c r="Q105" s="666"/>
      <c r="R105" s="666"/>
      <c r="S105" s="666"/>
      <c r="T105" s="666"/>
      <c r="U105" s="666"/>
      <c r="V105" s="666"/>
      <c r="W105" s="666"/>
      <c r="X105" s="666"/>
      <c r="Y105" s="666"/>
      <c r="Z105" s="666"/>
      <c r="AA105" s="666"/>
      <c r="AB105" s="666"/>
      <c r="AC105" s="666"/>
      <c r="AD105" s="666"/>
      <c r="AE105" s="666"/>
      <c r="AF105" s="666"/>
      <c r="AG105" s="666"/>
      <c r="AH105" s="666"/>
      <c r="AI105" s="666"/>
      <c r="AJ105" s="666"/>
      <c r="AK105" s="666"/>
      <c r="AL105" s="666"/>
      <c r="AM105" s="666"/>
      <c r="AN105" s="666"/>
      <c r="AO105" s="666"/>
      <c r="AP105" s="666"/>
      <c r="AQ105" s="666"/>
      <c r="AR105" s="666"/>
      <c r="AS105" s="666"/>
      <c r="AT105" s="666"/>
      <c r="AU105" s="666"/>
      <c r="AV105" s="666"/>
      <c r="AW105" s="666"/>
      <c r="AX105" s="666"/>
      <c r="AY105" s="666"/>
      <c r="AZ105" s="666"/>
    </row>
    <row r="106" spans="1:52" x14ac:dyDescent="0.2">
      <c r="A106" s="666"/>
      <c r="B106" s="666"/>
      <c r="C106" s="666"/>
      <c r="D106" s="666"/>
      <c r="E106" s="666"/>
      <c r="F106" s="666"/>
      <c r="G106" s="666"/>
      <c r="H106" s="666"/>
      <c r="I106" s="666"/>
      <c r="J106" s="666"/>
      <c r="K106" s="666"/>
      <c r="L106" s="666"/>
      <c r="M106" s="666"/>
      <c r="N106" s="666"/>
      <c r="O106" s="666"/>
      <c r="P106" s="666"/>
      <c r="Q106" s="666"/>
      <c r="R106" s="666"/>
      <c r="S106" s="666"/>
      <c r="T106" s="666"/>
      <c r="U106" s="666"/>
      <c r="V106" s="666"/>
      <c r="W106" s="666"/>
      <c r="X106" s="666"/>
      <c r="Y106" s="666"/>
      <c r="Z106" s="666"/>
      <c r="AA106" s="666"/>
      <c r="AB106" s="666"/>
      <c r="AC106" s="666"/>
      <c r="AD106" s="666"/>
      <c r="AE106" s="666"/>
      <c r="AF106" s="666"/>
      <c r="AG106" s="666"/>
      <c r="AH106" s="666"/>
      <c r="AI106" s="666"/>
      <c r="AJ106" s="666"/>
      <c r="AK106" s="666"/>
      <c r="AL106" s="666"/>
      <c r="AM106" s="666"/>
      <c r="AN106" s="666"/>
      <c r="AO106" s="666"/>
      <c r="AP106" s="666"/>
      <c r="AQ106" s="666"/>
      <c r="AR106" s="666"/>
      <c r="AS106" s="666"/>
      <c r="AT106" s="666"/>
      <c r="AU106" s="666"/>
      <c r="AV106" s="666"/>
      <c r="AW106" s="666"/>
      <c r="AX106" s="666"/>
      <c r="AY106" s="666"/>
      <c r="AZ106" s="666"/>
    </row>
    <row r="107" spans="1:52" x14ac:dyDescent="0.2">
      <c r="A107" s="666"/>
      <c r="B107" s="666"/>
      <c r="C107" s="666"/>
      <c r="D107" s="666"/>
      <c r="E107" s="666"/>
      <c r="F107" s="666"/>
      <c r="G107" s="666"/>
      <c r="H107" s="666"/>
      <c r="I107" s="666"/>
      <c r="J107" s="666"/>
      <c r="K107" s="666"/>
      <c r="L107" s="666"/>
      <c r="M107" s="666"/>
      <c r="N107" s="666"/>
      <c r="O107" s="666"/>
      <c r="P107" s="666"/>
      <c r="Q107" s="666"/>
      <c r="R107" s="666"/>
      <c r="S107" s="666"/>
      <c r="T107" s="666"/>
      <c r="U107" s="666"/>
      <c r="V107" s="666"/>
      <c r="W107" s="666"/>
      <c r="X107" s="666"/>
      <c r="Y107" s="666"/>
      <c r="Z107" s="666"/>
      <c r="AA107" s="666"/>
      <c r="AB107" s="666"/>
      <c r="AC107" s="666"/>
      <c r="AD107" s="666"/>
      <c r="AE107" s="666"/>
      <c r="AF107" s="666"/>
      <c r="AG107" s="666"/>
      <c r="AH107" s="666"/>
      <c r="AI107" s="666"/>
      <c r="AJ107" s="666"/>
      <c r="AK107" s="666"/>
      <c r="AL107" s="666"/>
      <c r="AM107" s="666"/>
      <c r="AN107" s="666"/>
      <c r="AO107" s="666"/>
      <c r="AP107" s="666"/>
      <c r="AQ107" s="666"/>
      <c r="AR107" s="666"/>
      <c r="AS107" s="666"/>
      <c r="AT107" s="666"/>
      <c r="AU107" s="666"/>
      <c r="AV107" s="666"/>
      <c r="AW107" s="666"/>
      <c r="AX107" s="666"/>
      <c r="AY107" s="666"/>
      <c r="AZ107" s="666"/>
    </row>
    <row r="108" spans="1:52" x14ac:dyDescent="0.2">
      <c r="A108" s="666"/>
      <c r="B108" s="666"/>
      <c r="C108" s="666"/>
      <c r="D108" s="666"/>
      <c r="E108" s="666"/>
      <c r="F108" s="666"/>
      <c r="G108" s="666"/>
      <c r="H108" s="666"/>
      <c r="I108" s="666"/>
      <c r="J108" s="666"/>
      <c r="K108" s="666"/>
      <c r="L108" s="666"/>
      <c r="M108" s="666"/>
      <c r="N108" s="666"/>
      <c r="O108" s="666"/>
      <c r="P108" s="666"/>
      <c r="Q108" s="666"/>
      <c r="R108" s="666"/>
      <c r="S108" s="666"/>
      <c r="T108" s="666"/>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6"/>
      <c r="AV108" s="666"/>
      <c r="AW108" s="666"/>
      <c r="AX108" s="666"/>
      <c r="AY108" s="666"/>
      <c r="AZ108" s="666"/>
    </row>
    <row r="109" spans="1:52" x14ac:dyDescent="0.2">
      <c r="A109" s="666"/>
      <c r="B109" s="666"/>
      <c r="C109" s="666"/>
      <c r="D109" s="666"/>
      <c r="E109" s="666"/>
      <c r="F109" s="666"/>
      <c r="G109" s="666"/>
      <c r="H109" s="666"/>
      <c r="I109" s="666"/>
      <c r="J109" s="666"/>
      <c r="K109" s="666"/>
      <c r="L109" s="666"/>
      <c r="M109" s="666"/>
      <c r="N109" s="666"/>
      <c r="O109" s="666"/>
      <c r="P109" s="666"/>
      <c r="Q109" s="666"/>
      <c r="R109" s="666"/>
      <c r="S109" s="666"/>
      <c r="T109" s="666"/>
      <c r="U109" s="666"/>
      <c r="V109" s="666"/>
      <c r="W109" s="666"/>
      <c r="X109" s="666"/>
      <c r="Y109" s="666"/>
      <c r="Z109" s="666"/>
      <c r="AA109" s="666"/>
      <c r="AB109" s="666"/>
      <c r="AC109" s="666"/>
      <c r="AD109" s="666"/>
      <c r="AE109" s="666"/>
      <c r="AF109" s="666"/>
      <c r="AG109" s="666"/>
      <c r="AH109" s="666"/>
      <c r="AI109" s="666"/>
      <c r="AJ109" s="666"/>
      <c r="AK109" s="666"/>
      <c r="AL109" s="666"/>
      <c r="AM109" s="666"/>
      <c r="AN109" s="666"/>
      <c r="AO109" s="666"/>
      <c r="AP109" s="666"/>
      <c r="AQ109" s="666"/>
      <c r="AR109" s="666"/>
      <c r="AS109" s="666"/>
      <c r="AT109" s="666"/>
      <c r="AU109" s="666"/>
      <c r="AV109" s="666"/>
      <c r="AW109" s="666"/>
      <c r="AX109" s="666"/>
      <c r="AY109" s="666"/>
      <c r="AZ109" s="666"/>
    </row>
    <row r="110" spans="1:52" x14ac:dyDescent="0.2">
      <c r="A110" s="666"/>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row>
    <row r="111" spans="1:52" x14ac:dyDescent="0.2">
      <c r="A111" s="666"/>
      <c r="B111" s="666"/>
      <c r="C111" s="666"/>
      <c r="D111" s="666"/>
      <c r="E111" s="666"/>
      <c r="F111" s="666"/>
      <c r="G111" s="666"/>
      <c r="H111" s="666"/>
      <c r="I111" s="666"/>
      <c r="J111" s="666"/>
      <c r="K111" s="666"/>
      <c r="L111" s="666"/>
      <c r="M111" s="666"/>
      <c r="N111" s="666"/>
      <c r="O111" s="666"/>
      <c r="P111" s="666"/>
      <c r="Q111" s="666"/>
      <c r="R111" s="666"/>
      <c r="S111" s="666"/>
      <c r="T111" s="666"/>
      <c r="U111" s="666"/>
      <c r="V111" s="666"/>
      <c r="W111" s="666"/>
      <c r="X111" s="666"/>
      <c r="Y111" s="666"/>
      <c r="Z111" s="666"/>
      <c r="AA111" s="666"/>
      <c r="AB111" s="666"/>
      <c r="AC111" s="666"/>
      <c r="AD111" s="666"/>
      <c r="AE111" s="666"/>
      <c r="AF111" s="666"/>
      <c r="AG111" s="666"/>
      <c r="AH111" s="666"/>
      <c r="AI111" s="666"/>
      <c r="AJ111" s="666"/>
      <c r="AK111" s="666"/>
      <c r="AL111" s="666"/>
      <c r="AM111" s="666"/>
      <c r="AN111" s="666"/>
      <c r="AO111" s="666"/>
      <c r="AP111" s="666"/>
      <c r="AQ111" s="666"/>
      <c r="AR111" s="666"/>
      <c r="AS111" s="666"/>
      <c r="AT111" s="666"/>
      <c r="AU111" s="666"/>
      <c r="AV111" s="666"/>
      <c r="AW111" s="666"/>
      <c r="AX111" s="666"/>
      <c r="AY111" s="666"/>
      <c r="AZ111" s="666"/>
    </row>
    <row r="112" spans="1:52" x14ac:dyDescent="0.2">
      <c r="A112" s="666"/>
      <c r="B112" s="666"/>
      <c r="C112" s="666"/>
      <c r="D112" s="666"/>
      <c r="E112" s="666"/>
      <c r="F112" s="666"/>
      <c r="G112" s="666"/>
      <c r="H112" s="666"/>
      <c r="I112" s="666"/>
      <c r="J112" s="666"/>
      <c r="K112" s="666"/>
      <c r="L112" s="666"/>
      <c r="M112" s="666"/>
      <c r="N112" s="666"/>
      <c r="O112" s="666"/>
      <c r="P112" s="666"/>
      <c r="Q112" s="666"/>
      <c r="R112" s="666"/>
      <c r="S112" s="666"/>
      <c r="T112" s="666"/>
      <c r="U112" s="666"/>
      <c r="V112" s="666"/>
      <c r="W112" s="666"/>
      <c r="X112" s="666"/>
      <c r="Y112" s="666"/>
      <c r="Z112" s="666"/>
      <c r="AA112" s="666"/>
      <c r="AB112" s="666"/>
      <c r="AC112" s="666"/>
      <c r="AD112" s="666"/>
      <c r="AE112" s="666"/>
      <c r="AF112" s="666"/>
      <c r="AG112" s="666"/>
      <c r="AH112" s="666"/>
      <c r="AI112" s="666"/>
      <c r="AJ112" s="666"/>
      <c r="AK112" s="666"/>
      <c r="AL112" s="666"/>
      <c r="AM112" s="666"/>
      <c r="AN112" s="666"/>
      <c r="AO112" s="666"/>
      <c r="AP112" s="666"/>
      <c r="AQ112" s="666"/>
      <c r="AR112" s="666"/>
      <c r="AS112" s="666"/>
      <c r="AT112" s="666"/>
      <c r="AU112" s="666"/>
      <c r="AV112" s="666"/>
      <c r="AW112" s="666"/>
      <c r="AX112" s="666"/>
      <c r="AY112" s="666"/>
      <c r="AZ112" s="666"/>
    </row>
    <row r="113" spans="1:52" x14ac:dyDescent="0.2">
      <c r="A113" s="666"/>
      <c r="B113" s="666"/>
      <c r="C113" s="666"/>
      <c r="D113" s="666"/>
      <c r="E113" s="666"/>
      <c r="F113" s="666"/>
      <c r="G113" s="666"/>
      <c r="H113" s="666"/>
      <c r="I113" s="666"/>
      <c r="J113" s="666"/>
      <c r="K113" s="666"/>
      <c r="L113" s="666"/>
      <c r="M113" s="666"/>
      <c r="N113" s="666"/>
      <c r="O113" s="666"/>
      <c r="P113" s="666"/>
      <c r="Q113" s="666"/>
      <c r="R113" s="666"/>
      <c r="S113" s="666"/>
      <c r="T113" s="666"/>
      <c r="U113" s="666"/>
      <c r="V113" s="666"/>
      <c r="W113" s="666"/>
      <c r="X113" s="666"/>
      <c r="Y113" s="666"/>
      <c r="Z113" s="666"/>
      <c r="AA113" s="666"/>
      <c r="AB113" s="666"/>
      <c r="AC113" s="666"/>
      <c r="AD113" s="666"/>
      <c r="AE113" s="666"/>
      <c r="AF113" s="666"/>
      <c r="AG113" s="666"/>
      <c r="AH113" s="666"/>
      <c r="AI113" s="666"/>
      <c r="AJ113" s="666"/>
      <c r="AK113" s="666"/>
      <c r="AL113" s="666"/>
      <c r="AM113" s="666"/>
      <c r="AN113" s="666"/>
      <c r="AO113" s="666"/>
      <c r="AP113" s="666"/>
      <c r="AQ113" s="666"/>
      <c r="AR113" s="666"/>
      <c r="AS113" s="666"/>
      <c r="AT113" s="666"/>
      <c r="AU113" s="666"/>
      <c r="AV113" s="666"/>
      <c r="AW113" s="666"/>
      <c r="AX113" s="666"/>
      <c r="AY113" s="666"/>
      <c r="AZ113" s="666"/>
    </row>
    <row r="114" spans="1:52" x14ac:dyDescent="0.2">
      <c r="A114" s="666"/>
      <c r="B114" s="666"/>
      <c r="C114" s="666"/>
      <c r="D114" s="666"/>
      <c r="E114" s="666"/>
      <c r="F114" s="666"/>
      <c r="G114" s="666"/>
      <c r="H114" s="666"/>
      <c r="I114" s="666"/>
      <c r="J114" s="666"/>
      <c r="K114" s="666"/>
      <c r="L114" s="666"/>
      <c r="M114" s="666"/>
      <c r="N114" s="666"/>
      <c r="O114" s="666"/>
      <c r="P114" s="666"/>
      <c r="Q114" s="666"/>
      <c r="R114" s="666"/>
      <c r="S114" s="666"/>
      <c r="T114" s="666"/>
      <c r="U114" s="666"/>
      <c r="V114" s="666"/>
      <c r="W114" s="666"/>
      <c r="X114" s="666"/>
      <c r="Y114" s="666"/>
      <c r="Z114" s="666"/>
      <c r="AA114" s="666"/>
      <c r="AB114" s="666"/>
      <c r="AC114" s="666"/>
      <c r="AD114" s="666"/>
      <c r="AE114" s="666"/>
      <c r="AF114" s="666"/>
      <c r="AG114" s="666"/>
      <c r="AH114" s="666"/>
      <c r="AI114" s="666"/>
      <c r="AJ114" s="666"/>
      <c r="AK114" s="666"/>
      <c r="AL114" s="666"/>
      <c r="AM114" s="666"/>
      <c r="AN114" s="666"/>
      <c r="AO114" s="666"/>
      <c r="AP114" s="666"/>
      <c r="AQ114" s="666"/>
      <c r="AR114" s="666"/>
      <c r="AS114" s="666"/>
      <c r="AT114" s="666"/>
      <c r="AU114" s="666"/>
      <c r="AV114" s="666"/>
      <c r="AW114" s="666"/>
      <c r="AX114" s="666"/>
      <c r="AY114" s="666"/>
      <c r="AZ114" s="666"/>
    </row>
    <row r="115" spans="1:52" x14ac:dyDescent="0.2">
      <c r="A115" s="666"/>
      <c r="B115" s="666"/>
      <c r="C115" s="666"/>
      <c r="D115" s="666"/>
      <c r="E115" s="666"/>
      <c r="F115" s="666"/>
      <c r="G115" s="666"/>
      <c r="H115" s="666"/>
      <c r="I115" s="666"/>
      <c r="J115" s="666"/>
      <c r="K115" s="666"/>
      <c r="L115" s="666"/>
      <c r="M115" s="666"/>
      <c r="N115" s="666"/>
      <c r="O115" s="666"/>
      <c r="P115" s="666"/>
      <c r="Q115" s="666"/>
      <c r="R115" s="666"/>
      <c r="S115" s="666"/>
      <c r="T115" s="666"/>
      <c r="U115" s="666"/>
      <c r="V115" s="666"/>
      <c r="W115" s="666"/>
      <c r="X115" s="666"/>
      <c r="Y115" s="666"/>
      <c r="Z115" s="666"/>
      <c r="AA115" s="666"/>
      <c r="AB115" s="666"/>
      <c r="AC115" s="666"/>
      <c r="AD115" s="666"/>
      <c r="AE115" s="666"/>
      <c r="AF115" s="666"/>
      <c r="AG115" s="666"/>
      <c r="AH115" s="666"/>
      <c r="AI115" s="666"/>
      <c r="AJ115" s="666"/>
      <c r="AK115" s="666"/>
      <c r="AL115" s="666"/>
      <c r="AM115" s="666"/>
      <c r="AN115" s="666"/>
      <c r="AO115" s="666"/>
      <c r="AP115" s="666"/>
      <c r="AQ115" s="666"/>
      <c r="AR115" s="666"/>
      <c r="AS115" s="666"/>
      <c r="AT115" s="666"/>
      <c r="AU115" s="666"/>
      <c r="AV115" s="666"/>
      <c r="AW115" s="666"/>
      <c r="AX115" s="666"/>
      <c r="AY115" s="666"/>
      <c r="AZ115" s="666"/>
    </row>
    <row r="116" spans="1:52" x14ac:dyDescent="0.2">
      <c r="A116" s="666"/>
      <c r="B116" s="666"/>
      <c r="C116" s="666"/>
      <c r="D116" s="666"/>
      <c r="E116" s="666"/>
      <c r="F116" s="666"/>
      <c r="G116" s="666"/>
      <c r="H116" s="666"/>
      <c r="I116" s="666"/>
      <c r="J116" s="666"/>
      <c r="K116" s="666"/>
      <c r="L116" s="666"/>
      <c r="M116" s="666"/>
      <c r="N116" s="666"/>
      <c r="O116" s="666"/>
      <c r="P116" s="666"/>
      <c r="Q116" s="666"/>
      <c r="R116" s="666"/>
      <c r="S116" s="666"/>
      <c r="T116" s="666"/>
      <c r="U116" s="666"/>
      <c r="V116" s="666"/>
      <c r="W116" s="666"/>
      <c r="X116" s="666"/>
      <c r="Y116" s="666"/>
      <c r="Z116" s="666"/>
      <c r="AA116" s="666"/>
      <c r="AB116" s="666"/>
      <c r="AC116" s="666"/>
      <c r="AD116" s="666"/>
      <c r="AE116" s="666"/>
      <c r="AF116" s="666"/>
      <c r="AG116" s="666"/>
      <c r="AH116" s="666"/>
      <c r="AI116" s="666"/>
      <c r="AJ116" s="666"/>
      <c r="AK116" s="666"/>
      <c r="AL116" s="666"/>
      <c r="AM116" s="666"/>
      <c r="AN116" s="666"/>
      <c r="AO116" s="666"/>
      <c r="AP116" s="666"/>
      <c r="AQ116" s="666"/>
      <c r="AR116" s="666"/>
      <c r="AS116" s="666"/>
      <c r="AT116" s="666"/>
      <c r="AU116" s="666"/>
      <c r="AV116" s="666"/>
      <c r="AW116" s="666"/>
      <c r="AX116" s="666"/>
      <c r="AY116" s="666"/>
      <c r="AZ116" s="666"/>
    </row>
    <row r="117" spans="1:52" x14ac:dyDescent="0.2">
      <c r="A117" s="666"/>
      <c r="B117" s="666"/>
      <c r="C117" s="666"/>
      <c r="D117" s="666"/>
      <c r="E117" s="666"/>
      <c r="F117" s="666"/>
      <c r="G117" s="666"/>
      <c r="H117" s="666"/>
      <c r="I117" s="666"/>
      <c r="J117" s="666"/>
      <c r="K117" s="666"/>
      <c r="L117" s="666"/>
      <c r="M117" s="666"/>
      <c r="N117" s="666"/>
      <c r="O117" s="666"/>
      <c r="P117" s="666"/>
      <c r="Q117" s="666"/>
      <c r="R117" s="666"/>
      <c r="S117" s="666"/>
      <c r="T117" s="666"/>
      <c r="U117" s="666"/>
      <c r="V117" s="666"/>
      <c r="W117" s="666"/>
      <c r="X117" s="666"/>
      <c r="Y117" s="666"/>
      <c r="Z117" s="666"/>
      <c r="AA117" s="666"/>
      <c r="AB117" s="666"/>
      <c r="AC117" s="666"/>
      <c r="AD117" s="666"/>
      <c r="AE117" s="666"/>
      <c r="AF117" s="666"/>
      <c r="AG117" s="666"/>
      <c r="AH117" s="666"/>
      <c r="AI117" s="666"/>
      <c r="AJ117" s="666"/>
      <c r="AK117" s="666"/>
      <c r="AL117" s="666"/>
      <c r="AM117" s="666"/>
      <c r="AN117" s="666"/>
      <c r="AO117" s="666"/>
      <c r="AP117" s="666"/>
      <c r="AQ117" s="666"/>
      <c r="AR117" s="666"/>
      <c r="AS117" s="666"/>
      <c r="AT117" s="666"/>
      <c r="AU117" s="666"/>
      <c r="AV117" s="666"/>
      <c r="AW117" s="666"/>
      <c r="AX117" s="666"/>
      <c r="AY117" s="666"/>
      <c r="AZ117" s="666"/>
    </row>
    <row r="118" spans="1:52" x14ac:dyDescent="0.2">
      <c r="A118" s="666"/>
      <c r="B118" s="666"/>
      <c r="C118" s="666"/>
      <c r="D118" s="666"/>
      <c r="E118" s="666"/>
      <c r="F118" s="666"/>
      <c r="G118" s="666"/>
      <c r="H118" s="666"/>
      <c r="I118" s="666"/>
      <c r="J118" s="666"/>
      <c r="K118" s="666"/>
      <c r="L118" s="666"/>
      <c r="M118" s="666"/>
      <c r="N118" s="666"/>
      <c r="O118" s="666"/>
      <c r="P118" s="666"/>
      <c r="Q118" s="666"/>
      <c r="R118" s="666"/>
      <c r="S118" s="666"/>
      <c r="T118" s="666"/>
      <c r="U118" s="666"/>
      <c r="V118" s="666"/>
      <c r="W118" s="666"/>
      <c r="X118" s="666"/>
      <c r="Y118" s="666"/>
      <c r="Z118" s="666"/>
      <c r="AA118" s="666"/>
      <c r="AB118" s="666"/>
      <c r="AC118" s="666"/>
      <c r="AD118" s="666"/>
      <c r="AE118" s="666"/>
      <c r="AF118" s="666"/>
      <c r="AG118" s="666"/>
      <c r="AH118" s="666"/>
      <c r="AI118" s="666"/>
      <c r="AJ118" s="666"/>
      <c r="AK118" s="666"/>
      <c r="AL118" s="666"/>
      <c r="AM118" s="666"/>
      <c r="AN118" s="666"/>
      <c r="AO118" s="666"/>
      <c r="AP118" s="666"/>
      <c r="AQ118" s="666"/>
      <c r="AR118" s="666"/>
      <c r="AS118" s="666"/>
      <c r="AT118" s="666"/>
      <c r="AU118" s="666"/>
      <c r="AV118" s="666"/>
      <c r="AW118" s="666"/>
      <c r="AX118" s="666"/>
      <c r="AY118" s="666"/>
      <c r="AZ118" s="666"/>
    </row>
    <row r="119" spans="1:52" x14ac:dyDescent="0.2">
      <c r="A119" s="666"/>
      <c r="B119" s="666"/>
      <c r="C119" s="666"/>
      <c r="D119" s="666"/>
      <c r="E119" s="666"/>
      <c r="F119" s="666"/>
      <c r="G119" s="666"/>
      <c r="H119" s="666"/>
      <c r="I119" s="666"/>
      <c r="J119" s="666"/>
      <c r="K119" s="666"/>
      <c r="L119" s="666"/>
      <c r="M119" s="666"/>
      <c r="N119" s="666"/>
      <c r="O119" s="666"/>
      <c r="P119" s="666"/>
      <c r="Q119" s="666"/>
      <c r="R119" s="666"/>
      <c r="S119" s="666"/>
      <c r="T119" s="666"/>
      <c r="U119" s="666"/>
      <c r="V119" s="666"/>
      <c r="W119" s="666"/>
      <c r="X119" s="666"/>
      <c r="Y119" s="666"/>
      <c r="Z119" s="666"/>
      <c r="AA119" s="666"/>
      <c r="AB119" s="666"/>
      <c r="AC119" s="666"/>
      <c r="AD119" s="666"/>
      <c r="AE119" s="666"/>
      <c r="AF119" s="666"/>
      <c r="AG119" s="666"/>
      <c r="AH119" s="666"/>
      <c r="AI119" s="666"/>
      <c r="AJ119" s="666"/>
      <c r="AK119" s="666"/>
      <c r="AL119" s="666"/>
      <c r="AM119" s="666"/>
      <c r="AN119" s="666"/>
      <c r="AO119" s="666"/>
      <c r="AP119" s="666"/>
      <c r="AQ119" s="666"/>
      <c r="AR119" s="666"/>
      <c r="AS119" s="666"/>
      <c r="AT119" s="666"/>
      <c r="AU119" s="666"/>
      <c r="AV119" s="666"/>
      <c r="AW119" s="666"/>
      <c r="AX119" s="666"/>
      <c r="AY119" s="666"/>
      <c r="AZ119" s="666"/>
    </row>
    <row r="120" spans="1:52" x14ac:dyDescent="0.2">
      <c r="A120" s="666"/>
      <c r="B120" s="666"/>
      <c r="C120" s="666"/>
      <c r="D120" s="666"/>
      <c r="E120" s="666"/>
      <c r="F120" s="666"/>
      <c r="G120" s="666"/>
      <c r="H120" s="666"/>
      <c r="I120" s="666"/>
      <c r="J120" s="666"/>
      <c r="K120" s="666"/>
      <c r="L120" s="666"/>
      <c r="M120" s="666"/>
      <c r="N120" s="666"/>
      <c r="O120" s="666"/>
      <c r="P120" s="666"/>
      <c r="Q120" s="666"/>
      <c r="R120" s="666"/>
      <c r="S120" s="666"/>
      <c r="T120" s="666"/>
      <c r="U120" s="666"/>
      <c r="V120" s="666"/>
      <c r="W120" s="666"/>
      <c r="X120" s="666"/>
      <c r="Y120" s="666"/>
      <c r="Z120" s="666"/>
      <c r="AA120" s="666"/>
      <c r="AB120" s="666"/>
      <c r="AC120" s="666"/>
      <c r="AD120" s="666"/>
      <c r="AE120" s="666"/>
      <c r="AF120" s="666"/>
      <c r="AG120" s="666"/>
      <c r="AH120" s="666"/>
      <c r="AI120" s="666"/>
      <c r="AJ120" s="666"/>
      <c r="AK120" s="666"/>
      <c r="AL120" s="666"/>
      <c r="AM120" s="666"/>
      <c r="AN120" s="666"/>
      <c r="AO120" s="666"/>
      <c r="AP120" s="666"/>
      <c r="AQ120" s="666"/>
      <c r="AR120" s="666"/>
      <c r="AS120" s="666"/>
      <c r="AT120" s="666"/>
      <c r="AU120" s="666"/>
      <c r="AV120" s="666"/>
      <c r="AW120" s="666"/>
      <c r="AX120" s="666"/>
      <c r="AY120" s="666"/>
      <c r="AZ120" s="666"/>
    </row>
    <row r="121" spans="1:52" x14ac:dyDescent="0.2">
      <c r="A121" s="666"/>
      <c r="B121" s="666"/>
      <c r="C121" s="666"/>
      <c r="D121" s="666"/>
      <c r="E121" s="666"/>
      <c r="F121" s="666"/>
      <c r="G121" s="666"/>
      <c r="H121" s="666"/>
      <c r="I121" s="666"/>
      <c r="J121" s="666"/>
      <c r="K121" s="666"/>
      <c r="L121" s="666"/>
      <c r="M121" s="666"/>
      <c r="N121" s="666"/>
      <c r="O121" s="666"/>
      <c r="P121" s="666"/>
      <c r="Q121" s="666"/>
      <c r="R121" s="666"/>
      <c r="S121" s="666"/>
      <c r="T121" s="666"/>
      <c r="U121" s="666"/>
      <c r="V121" s="666"/>
      <c r="W121" s="666"/>
      <c r="X121" s="666"/>
      <c r="Y121" s="666"/>
      <c r="Z121" s="666"/>
      <c r="AA121" s="666"/>
      <c r="AB121" s="666"/>
      <c r="AC121" s="666"/>
      <c r="AD121" s="666"/>
      <c r="AE121" s="666"/>
      <c r="AF121" s="666"/>
      <c r="AG121" s="666"/>
      <c r="AH121" s="666"/>
      <c r="AI121" s="666"/>
      <c r="AJ121" s="666"/>
      <c r="AK121" s="666"/>
      <c r="AL121" s="666"/>
      <c r="AM121" s="666"/>
      <c r="AN121" s="666"/>
      <c r="AO121" s="666"/>
      <c r="AP121" s="666"/>
      <c r="AQ121" s="666"/>
      <c r="AR121" s="666"/>
      <c r="AS121" s="666"/>
      <c r="AT121" s="666"/>
      <c r="AU121" s="666"/>
      <c r="AV121" s="666"/>
      <c r="AW121" s="666"/>
      <c r="AX121" s="666"/>
      <c r="AY121" s="666"/>
      <c r="AZ121" s="666"/>
    </row>
    <row r="122" spans="1:52" x14ac:dyDescent="0.2">
      <c r="A122" s="666"/>
      <c r="B122" s="666"/>
      <c r="C122" s="666"/>
      <c r="D122" s="666"/>
      <c r="E122" s="666"/>
      <c r="F122" s="666"/>
      <c r="G122" s="666"/>
      <c r="H122" s="666"/>
      <c r="I122" s="666"/>
      <c r="J122" s="666"/>
      <c r="K122" s="666"/>
      <c r="L122" s="666"/>
      <c r="M122" s="666"/>
      <c r="N122" s="666"/>
      <c r="O122" s="666"/>
      <c r="P122" s="666"/>
      <c r="Q122" s="666"/>
      <c r="R122" s="666"/>
      <c r="S122" s="666"/>
      <c r="T122" s="666"/>
      <c r="U122" s="666"/>
      <c r="V122" s="666"/>
      <c r="W122" s="666"/>
      <c r="X122" s="666"/>
      <c r="Y122" s="666"/>
      <c r="Z122" s="666"/>
      <c r="AA122" s="666"/>
      <c r="AB122" s="666"/>
      <c r="AC122" s="666"/>
      <c r="AD122" s="666"/>
      <c r="AE122" s="666"/>
      <c r="AF122" s="666"/>
      <c r="AG122" s="666"/>
      <c r="AH122" s="666"/>
      <c r="AI122" s="666"/>
      <c r="AJ122" s="666"/>
      <c r="AK122" s="666"/>
      <c r="AL122" s="666"/>
      <c r="AM122" s="666"/>
      <c r="AN122" s="666"/>
      <c r="AO122" s="666"/>
      <c r="AP122" s="666"/>
      <c r="AQ122" s="666"/>
      <c r="AR122" s="666"/>
      <c r="AS122" s="666"/>
      <c r="AT122" s="666"/>
      <c r="AU122" s="666"/>
      <c r="AV122" s="666"/>
      <c r="AW122" s="666"/>
      <c r="AX122" s="666"/>
      <c r="AY122" s="666"/>
      <c r="AZ122" s="666"/>
    </row>
    <row r="123" spans="1:52" x14ac:dyDescent="0.2">
      <c r="A123" s="666"/>
      <c r="B123" s="666"/>
      <c r="C123" s="666"/>
      <c r="D123" s="666"/>
      <c r="E123" s="666"/>
      <c r="F123" s="666"/>
      <c r="G123" s="666"/>
      <c r="H123" s="666"/>
      <c r="I123" s="666"/>
      <c r="J123" s="666"/>
      <c r="K123" s="666"/>
      <c r="L123" s="666"/>
      <c r="M123" s="666"/>
      <c r="N123" s="666"/>
      <c r="O123" s="666"/>
      <c r="P123" s="666"/>
      <c r="Q123" s="666"/>
      <c r="R123" s="666"/>
      <c r="S123" s="666"/>
      <c r="T123" s="666"/>
      <c r="U123" s="666"/>
      <c r="V123" s="666"/>
      <c r="W123" s="666"/>
      <c r="X123" s="666"/>
      <c r="Y123" s="666"/>
      <c r="Z123" s="666"/>
      <c r="AA123" s="666"/>
      <c r="AB123" s="666"/>
      <c r="AC123" s="666"/>
      <c r="AD123" s="666"/>
      <c r="AE123" s="666"/>
      <c r="AF123" s="666"/>
      <c r="AG123" s="666"/>
      <c r="AH123" s="666"/>
      <c r="AI123" s="666"/>
      <c r="AJ123" s="666"/>
      <c r="AK123" s="666"/>
      <c r="AL123" s="666"/>
      <c r="AM123" s="666"/>
      <c r="AN123" s="666"/>
      <c r="AO123" s="666"/>
      <c r="AP123" s="666"/>
      <c r="AQ123" s="666"/>
      <c r="AR123" s="666"/>
      <c r="AS123" s="666"/>
      <c r="AT123" s="666"/>
      <c r="AU123" s="666"/>
      <c r="AV123" s="666"/>
      <c r="AW123" s="666"/>
      <c r="AX123" s="666"/>
      <c r="AY123" s="666"/>
      <c r="AZ123" s="666"/>
    </row>
    <row r="124" spans="1:52" x14ac:dyDescent="0.2">
      <c r="A124" s="666"/>
      <c r="B124" s="666"/>
      <c r="C124" s="666"/>
      <c r="D124" s="666"/>
      <c r="E124" s="666"/>
      <c r="F124" s="666"/>
      <c r="G124" s="666"/>
      <c r="H124" s="666"/>
      <c r="I124" s="666"/>
      <c r="J124" s="666"/>
      <c r="K124" s="666"/>
      <c r="L124" s="666"/>
      <c r="M124" s="666"/>
      <c r="N124" s="666"/>
      <c r="O124" s="666"/>
      <c r="P124" s="666"/>
      <c r="Q124" s="666"/>
      <c r="R124" s="666"/>
      <c r="S124" s="666"/>
      <c r="T124" s="666"/>
      <c r="U124" s="666"/>
      <c r="V124" s="666"/>
      <c r="W124" s="666"/>
      <c r="X124" s="666"/>
      <c r="Y124" s="666"/>
      <c r="Z124" s="666"/>
      <c r="AA124" s="666"/>
      <c r="AB124" s="666"/>
      <c r="AC124" s="666"/>
      <c r="AD124" s="666"/>
      <c r="AE124" s="666"/>
      <c r="AF124" s="666"/>
      <c r="AG124" s="666"/>
      <c r="AH124" s="666"/>
      <c r="AI124" s="666"/>
      <c r="AJ124" s="666"/>
      <c r="AK124" s="666"/>
      <c r="AL124" s="666"/>
      <c r="AM124" s="666"/>
      <c r="AN124" s="666"/>
      <c r="AO124" s="666"/>
      <c r="AP124" s="666"/>
      <c r="AQ124" s="666"/>
      <c r="AR124" s="666"/>
      <c r="AS124" s="666"/>
      <c r="AT124" s="666"/>
      <c r="AU124" s="666"/>
      <c r="AV124" s="666"/>
      <c r="AW124" s="666"/>
      <c r="AX124" s="666"/>
      <c r="AY124" s="666"/>
      <c r="AZ124" s="666"/>
    </row>
    <row r="125" spans="1:52" x14ac:dyDescent="0.2">
      <c r="A125" s="666"/>
      <c r="B125" s="666"/>
      <c r="C125" s="666"/>
      <c r="D125" s="666"/>
      <c r="E125" s="666"/>
      <c r="F125" s="666"/>
      <c r="G125" s="666"/>
      <c r="H125" s="666"/>
      <c r="I125" s="666"/>
      <c r="J125" s="666"/>
      <c r="K125" s="666"/>
      <c r="L125" s="666"/>
      <c r="M125" s="666"/>
      <c r="N125" s="666"/>
      <c r="O125" s="666"/>
      <c r="P125" s="666"/>
      <c r="Q125" s="666"/>
      <c r="R125" s="666"/>
      <c r="S125" s="666"/>
      <c r="T125" s="666"/>
      <c r="U125" s="666"/>
      <c r="V125" s="666"/>
      <c r="W125" s="666"/>
      <c r="X125" s="666"/>
      <c r="Y125" s="666"/>
      <c r="Z125" s="666"/>
      <c r="AA125" s="666"/>
      <c r="AB125" s="666"/>
      <c r="AC125" s="666"/>
      <c r="AD125" s="666"/>
      <c r="AE125" s="666"/>
      <c r="AF125" s="666"/>
      <c r="AG125" s="666"/>
      <c r="AH125" s="666"/>
      <c r="AI125" s="666"/>
      <c r="AJ125" s="666"/>
      <c r="AK125" s="666"/>
      <c r="AL125" s="666"/>
      <c r="AM125" s="666"/>
      <c r="AN125" s="666"/>
      <c r="AO125" s="666"/>
      <c r="AP125" s="666"/>
      <c r="AQ125" s="666"/>
      <c r="AR125" s="666"/>
      <c r="AS125" s="666"/>
      <c r="AT125" s="666"/>
      <c r="AU125" s="666"/>
      <c r="AV125" s="666"/>
      <c r="AW125" s="666"/>
      <c r="AX125" s="666"/>
      <c r="AY125" s="666"/>
      <c r="AZ125" s="666"/>
    </row>
    <row r="126" spans="1:52" x14ac:dyDescent="0.2">
      <c r="A126" s="666"/>
      <c r="B126" s="666"/>
      <c r="C126" s="666"/>
      <c r="D126" s="666"/>
      <c r="E126" s="666"/>
      <c r="F126" s="666"/>
      <c r="G126" s="666"/>
      <c r="H126" s="666"/>
      <c r="I126" s="666"/>
      <c r="J126" s="666"/>
      <c r="K126" s="666"/>
      <c r="L126" s="666"/>
      <c r="M126" s="666"/>
      <c r="N126" s="666"/>
      <c r="O126" s="666"/>
      <c r="P126" s="666"/>
      <c r="Q126" s="666"/>
      <c r="R126" s="666"/>
      <c r="S126" s="666"/>
      <c r="T126" s="666"/>
      <c r="U126" s="666"/>
      <c r="V126" s="666"/>
      <c r="W126" s="666"/>
      <c r="X126" s="666"/>
      <c r="Y126" s="666"/>
      <c r="Z126" s="666"/>
      <c r="AA126" s="666"/>
      <c r="AB126" s="666"/>
      <c r="AC126" s="666"/>
      <c r="AD126" s="666"/>
      <c r="AE126" s="666"/>
      <c r="AF126" s="666"/>
      <c r="AG126" s="666"/>
      <c r="AH126" s="666"/>
      <c r="AI126" s="666"/>
      <c r="AJ126" s="666"/>
      <c r="AK126" s="666"/>
      <c r="AL126" s="666"/>
      <c r="AM126" s="666"/>
      <c r="AN126" s="666"/>
      <c r="AO126" s="666"/>
      <c r="AP126" s="666"/>
      <c r="AQ126" s="666"/>
      <c r="AR126" s="666"/>
      <c r="AS126" s="666"/>
      <c r="AT126" s="666"/>
      <c r="AU126" s="666"/>
      <c r="AV126" s="666"/>
      <c r="AW126" s="666"/>
      <c r="AX126" s="666"/>
      <c r="AY126" s="666"/>
      <c r="AZ126" s="666"/>
    </row>
    <row r="127" spans="1:52" x14ac:dyDescent="0.2">
      <c r="A127" s="666"/>
      <c r="B127" s="666"/>
      <c r="C127" s="666"/>
      <c r="D127" s="666"/>
      <c r="E127" s="666"/>
      <c r="F127" s="666"/>
      <c r="G127" s="666"/>
      <c r="H127" s="666"/>
      <c r="I127" s="666"/>
      <c r="J127" s="666"/>
      <c r="K127" s="666"/>
      <c r="L127" s="666"/>
      <c r="M127" s="666"/>
      <c r="N127" s="666"/>
      <c r="O127" s="666"/>
      <c r="P127" s="666"/>
      <c r="Q127" s="666"/>
      <c r="R127" s="666"/>
      <c r="S127" s="666"/>
      <c r="T127" s="666"/>
      <c r="U127" s="666"/>
      <c r="V127" s="666"/>
      <c r="W127" s="666"/>
      <c r="X127" s="666"/>
      <c r="Y127" s="666"/>
      <c r="Z127" s="666"/>
      <c r="AA127" s="666"/>
      <c r="AB127" s="666"/>
      <c r="AC127" s="666"/>
      <c r="AD127" s="666"/>
      <c r="AE127" s="666"/>
      <c r="AF127" s="666"/>
      <c r="AG127" s="666"/>
      <c r="AH127" s="666"/>
      <c r="AI127" s="666"/>
      <c r="AJ127" s="666"/>
      <c r="AK127" s="666"/>
      <c r="AL127" s="666"/>
      <c r="AM127" s="666"/>
      <c r="AN127" s="666"/>
      <c r="AO127" s="666"/>
      <c r="AP127" s="666"/>
      <c r="AQ127" s="666"/>
      <c r="AR127" s="666"/>
      <c r="AS127" s="666"/>
      <c r="AT127" s="666"/>
      <c r="AU127" s="666"/>
      <c r="AV127" s="666"/>
      <c r="AW127" s="666"/>
      <c r="AX127" s="666"/>
      <c r="AY127" s="666"/>
      <c r="AZ127" s="666"/>
    </row>
    <row r="128" spans="1:52" x14ac:dyDescent="0.2">
      <c r="A128" s="666"/>
      <c r="B128" s="666"/>
      <c r="C128" s="666"/>
      <c r="D128" s="666"/>
      <c r="E128" s="666"/>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6"/>
      <c r="AK128" s="666"/>
      <c r="AL128" s="666"/>
      <c r="AM128" s="666"/>
      <c r="AN128" s="666"/>
      <c r="AO128" s="666"/>
      <c r="AP128" s="666"/>
      <c r="AQ128" s="666"/>
      <c r="AR128" s="666"/>
      <c r="AS128" s="666"/>
      <c r="AT128" s="666"/>
      <c r="AU128" s="666"/>
      <c r="AV128" s="666"/>
      <c r="AW128" s="666"/>
      <c r="AX128" s="666"/>
      <c r="AY128" s="666"/>
      <c r="AZ128" s="666"/>
    </row>
    <row r="129" spans="1:52" x14ac:dyDescent="0.2">
      <c r="A129" s="666"/>
      <c r="B129" s="666"/>
      <c r="C129" s="666"/>
      <c r="D129" s="666"/>
      <c r="E129" s="666"/>
      <c r="F129" s="666"/>
      <c r="G129" s="666"/>
      <c r="H129" s="666"/>
      <c r="I129" s="666"/>
      <c r="J129" s="666"/>
      <c r="K129" s="666"/>
      <c r="L129" s="666"/>
      <c r="M129" s="666"/>
      <c r="N129" s="666"/>
      <c r="O129" s="666"/>
      <c r="P129" s="666"/>
      <c r="Q129" s="666"/>
      <c r="R129" s="666"/>
      <c r="S129" s="666"/>
      <c r="T129" s="666"/>
      <c r="U129" s="666"/>
      <c r="V129" s="666"/>
      <c r="W129" s="666"/>
      <c r="X129" s="666"/>
      <c r="Y129" s="666"/>
      <c r="Z129" s="666"/>
      <c r="AA129" s="666"/>
      <c r="AB129" s="666"/>
      <c r="AC129" s="666"/>
      <c r="AD129" s="666"/>
      <c r="AE129" s="666"/>
      <c r="AF129" s="666"/>
      <c r="AG129" s="666"/>
      <c r="AH129" s="666"/>
      <c r="AI129" s="666"/>
      <c r="AJ129" s="666"/>
      <c r="AK129" s="666"/>
      <c r="AL129" s="666"/>
      <c r="AM129" s="666"/>
      <c r="AN129" s="666"/>
      <c r="AO129" s="666"/>
      <c r="AP129" s="666"/>
      <c r="AQ129" s="666"/>
      <c r="AR129" s="666"/>
      <c r="AS129" s="666"/>
      <c r="AT129" s="666"/>
      <c r="AU129" s="666"/>
      <c r="AV129" s="666"/>
      <c r="AW129" s="666"/>
      <c r="AX129" s="666"/>
      <c r="AY129" s="666"/>
      <c r="AZ129" s="666"/>
    </row>
    <row r="130" spans="1:52" x14ac:dyDescent="0.2">
      <c r="A130" s="666"/>
      <c r="B130" s="666"/>
      <c r="C130" s="666"/>
      <c r="D130" s="666"/>
      <c r="E130" s="666"/>
      <c r="F130" s="666"/>
      <c r="G130" s="666"/>
      <c r="H130" s="666"/>
      <c r="I130" s="666"/>
      <c r="J130" s="666"/>
      <c r="K130" s="666"/>
      <c r="L130" s="666"/>
      <c r="M130" s="666"/>
      <c r="N130" s="666"/>
      <c r="O130" s="666"/>
      <c r="P130" s="666"/>
      <c r="Q130" s="666"/>
      <c r="R130" s="666"/>
      <c r="S130" s="666"/>
      <c r="T130" s="666"/>
      <c r="U130" s="666"/>
      <c r="V130" s="666"/>
      <c r="W130" s="666"/>
      <c r="X130" s="666"/>
      <c r="Y130" s="666"/>
      <c r="Z130" s="666"/>
      <c r="AA130" s="666"/>
      <c r="AB130" s="666"/>
      <c r="AC130" s="666"/>
      <c r="AD130" s="666"/>
      <c r="AE130" s="666"/>
      <c r="AF130" s="666"/>
      <c r="AG130" s="666"/>
      <c r="AH130" s="666"/>
      <c r="AI130" s="666"/>
      <c r="AJ130" s="666"/>
      <c r="AK130" s="666"/>
      <c r="AL130" s="666"/>
      <c r="AM130" s="666"/>
      <c r="AN130" s="666"/>
      <c r="AO130" s="666"/>
      <c r="AP130" s="666"/>
      <c r="AQ130" s="666"/>
      <c r="AR130" s="666"/>
      <c r="AS130" s="666"/>
      <c r="AT130" s="666"/>
      <c r="AU130" s="666"/>
      <c r="AV130" s="666"/>
      <c r="AW130" s="666"/>
      <c r="AX130" s="666"/>
      <c r="AY130" s="666"/>
      <c r="AZ130" s="666"/>
    </row>
    <row r="131" spans="1:52" x14ac:dyDescent="0.2">
      <c r="A131" s="666"/>
      <c r="B131" s="666"/>
      <c r="C131" s="666"/>
      <c r="D131" s="666"/>
      <c r="E131" s="666"/>
      <c r="F131" s="666"/>
      <c r="G131" s="666"/>
      <c r="H131" s="666"/>
      <c r="I131" s="666"/>
      <c r="J131" s="666"/>
      <c r="K131" s="666"/>
      <c r="L131" s="666"/>
      <c r="M131" s="666"/>
      <c r="N131" s="666"/>
      <c r="O131" s="666"/>
      <c r="P131" s="666"/>
      <c r="Q131" s="666"/>
      <c r="R131" s="666"/>
      <c r="S131" s="666"/>
      <c r="T131" s="666"/>
      <c r="U131" s="666"/>
      <c r="V131" s="666"/>
      <c r="W131" s="666"/>
      <c r="X131" s="666"/>
      <c r="Y131" s="666"/>
      <c r="Z131" s="666"/>
      <c r="AA131" s="666"/>
      <c r="AB131" s="666"/>
      <c r="AC131" s="666"/>
      <c r="AD131" s="666"/>
      <c r="AE131" s="666"/>
      <c r="AF131" s="666"/>
      <c r="AG131" s="666"/>
      <c r="AH131" s="666"/>
      <c r="AI131" s="666"/>
      <c r="AJ131" s="666"/>
      <c r="AK131" s="666"/>
      <c r="AL131" s="666"/>
      <c r="AM131" s="666"/>
      <c r="AN131" s="666"/>
      <c r="AO131" s="666"/>
      <c r="AP131" s="666"/>
      <c r="AQ131" s="666"/>
      <c r="AR131" s="666"/>
      <c r="AS131" s="666"/>
      <c r="AT131" s="666"/>
      <c r="AU131" s="666"/>
      <c r="AV131" s="666"/>
      <c r="AW131" s="666"/>
      <c r="AX131" s="666"/>
      <c r="AY131" s="666"/>
      <c r="AZ131" s="666"/>
    </row>
    <row r="132" spans="1:52" x14ac:dyDescent="0.2">
      <c r="A132" s="666"/>
      <c r="B132" s="666"/>
      <c r="C132" s="666"/>
      <c r="D132" s="666"/>
      <c r="E132" s="666"/>
      <c r="F132" s="666"/>
      <c r="G132" s="666"/>
      <c r="H132" s="666"/>
      <c r="I132" s="666"/>
      <c r="J132" s="666"/>
      <c r="K132" s="666"/>
      <c r="L132" s="666"/>
      <c r="M132" s="666"/>
      <c r="N132" s="666"/>
      <c r="O132" s="666"/>
      <c r="P132" s="666"/>
      <c r="Q132" s="666"/>
      <c r="R132" s="666"/>
      <c r="S132" s="666"/>
      <c r="T132" s="666"/>
      <c r="U132" s="666"/>
      <c r="V132" s="666"/>
      <c r="W132" s="666"/>
      <c r="X132" s="666"/>
      <c r="Y132" s="666"/>
      <c r="Z132" s="666"/>
      <c r="AA132" s="666"/>
      <c r="AB132" s="666"/>
      <c r="AC132" s="666"/>
      <c r="AD132" s="666"/>
      <c r="AE132" s="666"/>
      <c r="AF132" s="666"/>
      <c r="AG132" s="666"/>
      <c r="AH132" s="666"/>
      <c r="AI132" s="666"/>
      <c r="AJ132" s="666"/>
      <c r="AK132" s="666"/>
      <c r="AL132" s="666"/>
      <c r="AM132" s="666"/>
      <c r="AN132" s="666"/>
      <c r="AO132" s="666"/>
      <c r="AP132" s="666"/>
      <c r="AQ132" s="666"/>
      <c r="AR132" s="666"/>
      <c r="AS132" s="666"/>
      <c r="AT132" s="666"/>
      <c r="AU132" s="666"/>
      <c r="AV132" s="666"/>
      <c r="AW132" s="666"/>
      <c r="AX132" s="666"/>
      <c r="AY132" s="666"/>
      <c r="AZ132" s="666"/>
    </row>
    <row r="133" spans="1:52" x14ac:dyDescent="0.2">
      <c r="A133" s="666"/>
      <c r="B133" s="666"/>
      <c r="C133" s="666"/>
      <c r="D133" s="666"/>
      <c r="E133" s="666"/>
      <c r="F133" s="666"/>
      <c r="G133" s="666"/>
      <c r="H133" s="666"/>
      <c r="I133" s="666"/>
      <c r="J133" s="666"/>
      <c r="K133" s="666"/>
      <c r="L133" s="666"/>
      <c r="M133" s="666"/>
      <c r="N133" s="666"/>
      <c r="O133" s="666"/>
      <c r="P133" s="666"/>
      <c r="Q133" s="666"/>
      <c r="R133" s="666"/>
      <c r="S133" s="666"/>
      <c r="T133" s="666"/>
      <c r="U133" s="666"/>
      <c r="V133" s="666"/>
      <c r="W133" s="666"/>
      <c r="X133" s="666"/>
      <c r="Y133" s="666"/>
      <c r="Z133" s="666"/>
      <c r="AA133" s="666"/>
      <c r="AB133" s="666"/>
      <c r="AC133" s="666"/>
      <c r="AD133" s="666"/>
      <c r="AE133" s="666"/>
      <c r="AF133" s="666"/>
      <c r="AG133" s="666"/>
      <c r="AH133" s="666"/>
      <c r="AI133" s="666"/>
      <c r="AJ133" s="666"/>
      <c r="AK133" s="666"/>
      <c r="AL133" s="666"/>
      <c r="AM133" s="666"/>
      <c r="AN133" s="666"/>
      <c r="AO133" s="666"/>
      <c r="AP133" s="666"/>
      <c r="AQ133" s="666"/>
      <c r="AR133" s="666"/>
      <c r="AS133" s="666"/>
      <c r="AT133" s="666"/>
      <c r="AU133" s="666"/>
      <c r="AV133" s="666"/>
      <c r="AW133" s="666"/>
      <c r="AX133" s="666"/>
      <c r="AY133" s="666"/>
      <c r="AZ133" s="666"/>
    </row>
    <row r="134" spans="1:52" x14ac:dyDescent="0.2">
      <c r="A134" s="666"/>
      <c r="B134" s="666"/>
      <c r="C134" s="666"/>
      <c r="D134" s="666"/>
      <c r="E134" s="666"/>
      <c r="F134" s="666"/>
      <c r="G134" s="666"/>
      <c r="H134" s="666"/>
      <c r="I134" s="666"/>
      <c r="J134" s="666"/>
      <c r="K134" s="666"/>
      <c r="L134" s="666"/>
      <c r="M134" s="666"/>
      <c r="N134" s="666"/>
      <c r="O134" s="666"/>
      <c r="P134" s="666"/>
      <c r="Q134" s="666"/>
      <c r="R134" s="666"/>
      <c r="S134" s="666"/>
      <c r="T134" s="666"/>
      <c r="U134" s="666"/>
      <c r="V134" s="666"/>
      <c r="W134" s="666"/>
      <c r="X134" s="666"/>
      <c r="Y134" s="666"/>
      <c r="Z134" s="666"/>
      <c r="AA134" s="666"/>
      <c r="AB134" s="666"/>
      <c r="AC134" s="666"/>
      <c r="AD134" s="666"/>
      <c r="AE134" s="666"/>
      <c r="AF134" s="666"/>
      <c r="AG134" s="666"/>
      <c r="AH134" s="666"/>
      <c r="AI134" s="666"/>
      <c r="AJ134" s="666"/>
      <c r="AK134" s="666"/>
      <c r="AL134" s="666"/>
      <c r="AM134" s="666"/>
      <c r="AN134" s="666"/>
      <c r="AO134" s="666"/>
      <c r="AP134" s="666"/>
      <c r="AQ134" s="666"/>
      <c r="AR134" s="666"/>
      <c r="AS134" s="666"/>
      <c r="AT134" s="666"/>
      <c r="AU134" s="666"/>
      <c r="AV134" s="666"/>
      <c r="AW134" s="666"/>
      <c r="AX134" s="666"/>
      <c r="AY134" s="666"/>
      <c r="AZ134" s="666"/>
    </row>
    <row r="135" spans="1:52" x14ac:dyDescent="0.2">
      <c r="A135" s="666"/>
      <c r="B135" s="666"/>
      <c r="C135" s="666"/>
      <c r="D135" s="666"/>
      <c r="E135" s="666"/>
      <c r="F135" s="666"/>
      <c r="G135" s="666"/>
      <c r="H135" s="666"/>
      <c r="I135" s="666"/>
      <c r="J135" s="666"/>
      <c r="K135" s="666"/>
      <c r="L135" s="666"/>
      <c r="M135" s="666"/>
      <c r="N135" s="666"/>
      <c r="O135" s="666"/>
      <c r="P135" s="666"/>
      <c r="Q135" s="666"/>
      <c r="R135" s="666"/>
      <c r="S135" s="666"/>
      <c r="T135" s="666"/>
      <c r="U135" s="666"/>
      <c r="V135" s="666"/>
      <c r="W135" s="666"/>
      <c r="X135" s="666"/>
      <c r="Y135" s="666"/>
      <c r="Z135" s="666"/>
      <c r="AA135" s="666"/>
      <c r="AB135" s="666"/>
      <c r="AC135" s="666"/>
      <c r="AD135" s="666"/>
      <c r="AE135" s="666"/>
      <c r="AF135" s="666"/>
      <c r="AG135" s="666"/>
      <c r="AH135" s="666"/>
      <c r="AI135" s="666"/>
      <c r="AJ135" s="666"/>
      <c r="AK135" s="666"/>
      <c r="AL135" s="666"/>
      <c r="AM135" s="666"/>
      <c r="AN135" s="666"/>
      <c r="AO135" s="666"/>
      <c r="AP135" s="666"/>
      <c r="AQ135" s="666"/>
      <c r="AR135" s="666"/>
      <c r="AS135" s="666"/>
      <c r="AT135" s="666"/>
      <c r="AU135" s="666"/>
      <c r="AV135" s="666"/>
      <c r="AW135" s="666"/>
      <c r="AX135" s="666"/>
      <c r="AY135" s="666"/>
      <c r="AZ135" s="666"/>
    </row>
    <row r="136" spans="1:52" x14ac:dyDescent="0.2">
      <c r="A136" s="666"/>
      <c r="B136" s="666"/>
      <c r="C136" s="666"/>
      <c r="D136" s="666"/>
      <c r="E136" s="666"/>
      <c r="F136" s="666"/>
      <c r="G136" s="666"/>
      <c r="H136" s="666"/>
      <c r="I136" s="666"/>
      <c r="J136" s="666"/>
      <c r="K136" s="666"/>
      <c r="L136" s="666"/>
      <c r="M136" s="666"/>
      <c r="N136" s="666"/>
      <c r="O136" s="666"/>
      <c r="P136" s="666"/>
      <c r="Q136" s="666"/>
      <c r="R136" s="666"/>
      <c r="S136" s="666"/>
      <c r="T136" s="666"/>
      <c r="U136" s="666"/>
      <c r="V136" s="666"/>
      <c r="W136" s="666"/>
      <c r="X136" s="666"/>
      <c r="Y136" s="666"/>
      <c r="Z136" s="666"/>
      <c r="AA136" s="666"/>
      <c r="AB136" s="666"/>
      <c r="AC136" s="666"/>
      <c r="AD136" s="666"/>
      <c r="AE136" s="666"/>
      <c r="AF136" s="666"/>
      <c r="AG136" s="666"/>
      <c r="AH136" s="666"/>
      <c r="AI136" s="666"/>
      <c r="AJ136" s="666"/>
      <c r="AK136" s="666"/>
      <c r="AL136" s="666"/>
      <c r="AM136" s="666"/>
      <c r="AN136" s="666"/>
      <c r="AO136" s="666"/>
      <c r="AP136" s="666"/>
      <c r="AQ136" s="666"/>
      <c r="AR136" s="666"/>
      <c r="AS136" s="666"/>
      <c r="AT136" s="666"/>
      <c r="AU136" s="666"/>
      <c r="AV136" s="666"/>
      <c r="AW136" s="666"/>
      <c r="AX136" s="666"/>
      <c r="AY136" s="666"/>
      <c r="AZ136" s="666"/>
    </row>
    <row r="137" spans="1:52" x14ac:dyDescent="0.2">
      <c r="A137" s="666"/>
      <c r="B137" s="666"/>
      <c r="C137" s="666"/>
      <c r="D137" s="666"/>
      <c r="E137" s="666"/>
      <c r="F137" s="666"/>
      <c r="G137" s="666"/>
      <c r="H137" s="666"/>
      <c r="I137" s="666"/>
      <c r="J137" s="666"/>
      <c r="K137" s="666"/>
      <c r="L137" s="666"/>
      <c r="M137" s="666"/>
      <c r="N137" s="666"/>
      <c r="O137" s="666"/>
      <c r="P137" s="666"/>
      <c r="Q137" s="666"/>
      <c r="R137" s="666"/>
      <c r="S137" s="666"/>
      <c r="T137" s="666"/>
      <c r="U137" s="666"/>
      <c r="V137" s="666"/>
      <c r="W137" s="666"/>
      <c r="X137" s="666"/>
      <c r="Y137" s="666"/>
      <c r="Z137" s="666"/>
      <c r="AA137" s="666"/>
      <c r="AB137" s="666"/>
      <c r="AC137" s="666"/>
      <c r="AD137" s="666"/>
      <c r="AE137" s="666"/>
      <c r="AF137" s="666"/>
      <c r="AG137" s="666"/>
      <c r="AH137" s="666"/>
      <c r="AI137" s="666"/>
      <c r="AJ137" s="666"/>
      <c r="AK137" s="666"/>
      <c r="AL137" s="666"/>
      <c r="AM137" s="666"/>
      <c r="AN137" s="666"/>
      <c r="AO137" s="666"/>
      <c r="AP137" s="666"/>
      <c r="AQ137" s="666"/>
      <c r="AR137" s="666"/>
      <c r="AS137" s="666"/>
      <c r="AT137" s="666"/>
      <c r="AU137" s="666"/>
      <c r="AV137" s="666"/>
      <c r="AW137" s="666"/>
      <c r="AX137" s="666"/>
      <c r="AY137" s="666"/>
      <c r="AZ137" s="666"/>
    </row>
    <row r="138" spans="1:52" x14ac:dyDescent="0.2">
      <c r="A138" s="666"/>
      <c r="B138" s="666"/>
      <c r="C138" s="666"/>
      <c r="D138" s="666"/>
      <c r="E138" s="666"/>
      <c r="F138" s="666"/>
      <c r="G138" s="666"/>
      <c r="H138" s="666"/>
      <c r="I138" s="666"/>
      <c r="J138" s="666"/>
      <c r="K138" s="666"/>
      <c r="L138" s="666"/>
      <c r="M138" s="666"/>
      <c r="N138" s="666"/>
      <c r="O138" s="666"/>
      <c r="P138" s="666"/>
      <c r="Q138" s="666"/>
      <c r="R138" s="666"/>
      <c r="S138" s="666"/>
      <c r="T138" s="666"/>
      <c r="U138" s="666"/>
      <c r="V138" s="666"/>
      <c r="W138" s="666"/>
      <c r="X138" s="666"/>
      <c r="Y138" s="666"/>
      <c r="Z138" s="666"/>
      <c r="AA138" s="666"/>
      <c r="AB138" s="666"/>
      <c r="AC138" s="666"/>
      <c r="AD138" s="666"/>
      <c r="AE138" s="666"/>
      <c r="AF138" s="666"/>
      <c r="AG138" s="666"/>
      <c r="AH138" s="666"/>
      <c r="AI138" s="666"/>
      <c r="AJ138" s="666"/>
      <c r="AK138" s="666"/>
      <c r="AL138" s="666"/>
      <c r="AM138" s="666"/>
      <c r="AN138" s="666"/>
      <c r="AO138" s="666"/>
      <c r="AP138" s="666"/>
      <c r="AQ138" s="666"/>
      <c r="AR138" s="666"/>
      <c r="AS138" s="666"/>
      <c r="AT138" s="666"/>
      <c r="AU138" s="666"/>
      <c r="AV138" s="666"/>
      <c r="AW138" s="666"/>
      <c r="AX138" s="666"/>
      <c r="AY138" s="666"/>
      <c r="AZ138" s="666"/>
    </row>
    <row r="139" spans="1:52" x14ac:dyDescent="0.2">
      <c r="A139" s="666"/>
      <c r="B139" s="666"/>
      <c r="C139" s="666"/>
      <c r="D139" s="666"/>
      <c r="E139" s="666"/>
      <c r="F139" s="666"/>
      <c r="G139" s="666"/>
      <c r="H139" s="666"/>
      <c r="I139" s="666"/>
      <c r="J139" s="666"/>
      <c r="K139" s="666"/>
      <c r="L139" s="666"/>
      <c r="M139" s="666"/>
      <c r="N139" s="666"/>
      <c r="O139" s="666"/>
      <c r="P139" s="666"/>
      <c r="Q139" s="666"/>
      <c r="R139" s="666"/>
      <c r="S139" s="666"/>
      <c r="T139" s="666"/>
      <c r="U139" s="666"/>
      <c r="V139" s="666"/>
      <c r="W139" s="666"/>
      <c r="X139" s="666"/>
      <c r="Y139" s="666"/>
      <c r="Z139" s="666"/>
      <c r="AA139" s="666"/>
      <c r="AB139" s="666"/>
      <c r="AC139" s="666"/>
      <c r="AD139" s="666"/>
      <c r="AE139" s="666"/>
      <c r="AF139" s="666"/>
      <c r="AG139" s="666"/>
      <c r="AH139" s="666"/>
      <c r="AI139" s="666"/>
      <c r="AJ139" s="666"/>
      <c r="AK139" s="666"/>
      <c r="AL139" s="666"/>
      <c r="AM139" s="666"/>
      <c r="AN139" s="666"/>
      <c r="AO139" s="666"/>
      <c r="AP139" s="666"/>
      <c r="AQ139" s="666"/>
      <c r="AR139" s="666"/>
      <c r="AS139" s="666"/>
      <c r="AT139" s="666"/>
      <c r="AU139" s="666"/>
      <c r="AV139" s="666"/>
      <c r="AW139" s="666"/>
      <c r="AX139" s="666"/>
      <c r="AY139" s="666"/>
      <c r="AZ139" s="666"/>
    </row>
    <row r="140" spans="1:52" x14ac:dyDescent="0.2">
      <c r="A140" s="666"/>
      <c r="B140" s="666"/>
      <c r="C140" s="666"/>
      <c r="D140" s="666"/>
      <c r="E140" s="666"/>
      <c r="F140" s="666"/>
      <c r="G140" s="666"/>
      <c r="H140" s="666"/>
      <c r="I140" s="666"/>
      <c r="J140" s="666"/>
      <c r="K140" s="666"/>
      <c r="L140" s="666"/>
      <c r="M140" s="666"/>
      <c r="N140" s="666"/>
      <c r="O140" s="666"/>
      <c r="P140" s="666"/>
      <c r="Q140" s="666"/>
      <c r="R140" s="666"/>
      <c r="S140" s="666"/>
      <c r="T140" s="666"/>
      <c r="U140" s="666"/>
      <c r="V140" s="666"/>
      <c r="W140" s="666"/>
      <c r="X140" s="666"/>
      <c r="Y140" s="666"/>
      <c r="Z140" s="666"/>
      <c r="AA140" s="666"/>
      <c r="AB140" s="666"/>
      <c r="AC140" s="666"/>
      <c r="AD140" s="666"/>
      <c r="AE140" s="666"/>
      <c r="AF140" s="666"/>
      <c r="AG140" s="666"/>
      <c r="AH140" s="666"/>
      <c r="AI140" s="666"/>
      <c r="AJ140" s="666"/>
      <c r="AK140" s="666"/>
      <c r="AL140" s="666"/>
      <c r="AM140" s="666"/>
      <c r="AN140" s="666"/>
      <c r="AO140" s="666"/>
      <c r="AP140" s="666"/>
      <c r="AQ140" s="666"/>
      <c r="AR140" s="666"/>
      <c r="AS140" s="666"/>
      <c r="AT140" s="666"/>
      <c r="AU140" s="666"/>
      <c r="AV140" s="666"/>
      <c r="AW140" s="666"/>
      <c r="AX140" s="666"/>
      <c r="AY140" s="666"/>
      <c r="AZ140" s="666"/>
    </row>
    <row r="141" spans="1:52" x14ac:dyDescent="0.2">
      <c r="A141" s="666"/>
      <c r="B141" s="666"/>
      <c r="C141" s="666"/>
      <c r="D141" s="666"/>
      <c r="E141" s="666"/>
      <c r="F141" s="666"/>
      <c r="G141" s="666"/>
      <c r="H141" s="666"/>
      <c r="I141" s="666"/>
      <c r="J141" s="666"/>
      <c r="K141" s="666"/>
      <c r="L141" s="666"/>
      <c r="M141" s="666"/>
      <c r="N141" s="666"/>
      <c r="O141" s="666"/>
      <c r="P141" s="666"/>
      <c r="Q141" s="666"/>
      <c r="R141" s="666"/>
      <c r="S141" s="666"/>
      <c r="T141" s="666"/>
      <c r="U141" s="666"/>
      <c r="V141" s="666"/>
      <c r="W141" s="666"/>
      <c r="X141" s="666"/>
      <c r="Y141" s="666"/>
      <c r="Z141" s="666"/>
      <c r="AA141" s="666"/>
      <c r="AB141" s="666"/>
      <c r="AC141" s="666"/>
      <c r="AD141" s="666"/>
      <c r="AE141" s="666"/>
      <c r="AF141" s="666"/>
      <c r="AG141" s="666"/>
      <c r="AH141" s="666"/>
      <c r="AI141" s="666"/>
      <c r="AJ141" s="666"/>
      <c r="AK141" s="666"/>
      <c r="AL141" s="666"/>
      <c r="AM141" s="666"/>
      <c r="AN141" s="666"/>
      <c r="AO141" s="666"/>
      <c r="AP141" s="666"/>
      <c r="AQ141" s="666"/>
      <c r="AR141" s="666"/>
      <c r="AS141" s="666"/>
      <c r="AT141" s="666"/>
      <c r="AU141" s="666"/>
      <c r="AV141" s="666"/>
      <c r="AW141" s="666"/>
      <c r="AX141" s="666"/>
      <c r="AY141" s="666"/>
      <c r="AZ141" s="666"/>
    </row>
    <row r="142" spans="1:52" x14ac:dyDescent="0.2">
      <c r="A142" s="666"/>
      <c r="B142" s="666"/>
      <c r="C142" s="666"/>
      <c r="D142" s="666"/>
      <c r="E142" s="666"/>
      <c r="F142" s="666"/>
      <c r="G142" s="666"/>
      <c r="H142" s="666"/>
      <c r="I142" s="666"/>
      <c r="J142" s="666"/>
      <c r="K142" s="666"/>
      <c r="L142" s="666"/>
      <c r="M142" s="666"/>
      <c r="N142" s="666"/>
      <c r="O142" s="666"/>
      <c r="P142" s="666"/>
      <c r="Q142" s="666"/>
      <c r="R142" s="666"/>
      <c r="S142" s="666"/>
      <c r="T142" s="666"/>
      <c r="U142" s="666"/>
      <c r="V142" s="666"/>
      <c r="W142" s="666"/>
      <c r="X142" s="666"/>
      <c r="Y142" s="666"/>
      <c r="Z142" s="666"/>
      <c r="AA142" s="666"/>
      <c r="AB142" s="666"/>
      <c r="AC142" s="666"/>
      <c r="AD142" s="666"/>
      <c r="AE142" s="666"/>
      <c r="AF142" s="666"/>
      <c r="AG142" s="666"/>
      <c r="AH142" s="666"/>
      <c r="AI142" s="666"/>
      <c r="AJ142" s="666"/>
      <c r="AK142" s="666"/>
      <c r="AL142" s="666"/>
      <c r="AM142" s="666"/>
      <c r="AN142" s="666"/>
      <c r="AO142" s="666"/>
      <c r="AP142" s="666"/>
      <c r="AQ142" s="666"/>
      <c r="AR142" s="666"/>
      <c r="AS142" s="666"/>
      <c r="AT142" s="666"/>
      <c r="AU142" s="666"/>
      <c r="AV142" s="666"/>
      <c r="AW142" s="666"/>
      <c r="AX142" s="666"/>
      <c r="AY142" s="666"/>
      <c r="AZ142" s="666"/>
    </row>
    <row r="143" spans="1:52" x14ac:dyDescent="0.2">
      <c r="A143" s="666"/>
      <c r="B143" s="666"/>
      <c r="C143" s="666"/>
      <c r="D143" s="666"/>
      <c r="E143" s="666"/>
      <c r="F143" s="666"/>
      <c r="G143" s="666"/>
      <c r="H143" s="666"/>
      <c r="I143" s="666"/>
      <c r="J143" s="666"/>
      <c r="K143" s="666"/>
      <c r="L143" s="666"/>
      <c r="M143" s="666"/>
      <c r="N143" s="666"/>
      <c r="O143" s="666"/>
      <c r="P143" s="666"/>
      <c r="Q143" s="666"/>
      <c r="R143" s="666"/>
      <c r="S143" s="666"/>
      <c r="T143" s="666"/>
      <c r="U143" s="666"/>
      <c r="V143" s="666"/>
      <c r="W143" s="666"/>
      <c r="X143" s="666"/>
      <c r="Y143" s="666"/>
      <c r="Z143" s="666"/>
      <c r="AA143" s="666"/>
      <c r="AB143" s="666"/>
      <c r="AC143" s="666"/>
      <c r="AD143" s="666"/>
      <c r="AE143" s="666"/>
      <c r="AF143" s="666"/>
      <c r="AG143" s="666"/>
      <c r="AH143" s="666"/>
      <c r="AI143" s="666"/>
      <c r="AJ143" s="666"/>
      <c r="AK143" s="666"/>
      <c r="AL143" s="666"/>
      <c r="AM143" s="666"/>
      <c r="AN143" s="666"/>
      <c r="AO143" s="666"/>
      <c r="AP143" s="666"/>
      <c r="AQ143" s="666"/>
      <c r="AR143" s="666"/>
      <c r="AS143" s="666"/>
      <c r="AT143" s="666"/>
      <c r="AU143" s="666"/>
      <c r="AV143" s="666"/>
      <c r="AW143" s="666"/>
      <c r="AX143" s="666"/>
      <c r="AY143" s="666"/>
      <c r="AZ143" s="666"/>
    </row>
    <row r="144" spans="1:52" x14ac:dyDescent="0.2">
      <c r="A144" s="666"/>
      <c r="B144" s="666"/>
      <c r="C144" s="666"/>
      <c r="D144" s="666"/>
      <c r="E144" s="666"/>
      <c r="F144" s="666"/>
      <c r="G144" s="666"/>
      <c r="H144" s="666"/>
      <c r="I144" s="666"/>
      <c r="J144" s="666"/>
      <c r="K144" s="666"/>
      <c r="L144" s="666"/>
      <c r="M144" s="666"/>
      <c r="N144" s="666"/>
      <c r="O144" s="666"/>
      <c r="P144" s="666"/>
      <c r="Q144" s="666"/>
      <c r="R144" s="666"/>
      <c r="S144" s="666"/>
      <c r="T144" s="666"/>
      <c r="U144" s="666"/>
      <c r="V144" s="666"/>
      <c r="W144" s="666"/>
      <c r="X144" s="666"/>
      <c r="Y144" s="666"/>
      <c r="Z144" s="666"/>
      <c r="AA144" s="666"/>
      <c r="AB144" s="666"/>
      <c r="AC144" s="666"/>
      <c r="AD144" s="666"/>
      <c r="AE144" s="666"/>
      <c r="AF144" s="666"/>
      <c r="AG144" s="666"/>
      <c r="AH144" s="666"/>
      <c r="AI144" s="666"/>
      <c r="AJ144" s="666"/>
      <c r="AK144" s="666"/>
      <c r="AL144" s="666"/>
      <c r="AM144" s="666"/>
      <c r="AN144" s="666"/>
      <c r="AO144" s="666"/>
      <c r="AP144" s="666"/>
      <c r="AQ144" s="666"/>
      <c r="AR144" s="666"/>
      <c r="AS144" s="666"/>
      <c r="AT144" s="666"/>
      <c r="AU144" s="666"/>
      <c r="AV144" s="666"/>
      <c r="AW144" s="666"/>
      <c r="AX144" s="666"/>
      <c r="AY144" s="666"/>
      <c r="AZ144" s="666"/>
    </row>
    <row r="145" spans="1:52" x14ac:dyDescent="0.2">
      <c r="A145" s="666"/>
      <c r="B145" s="666"/>
      <c r="C145" s="666"/>
      <c r="D145" s="666"/>
      <c r="E145" s="666"/>
      <c r="F145" s="666"/>
      <c r="G145" s="666"/>
      <c r="H145" s="666"/>
      <c r="I145" s="666"/>
      <c r="J145" s="666"/>
      <c r="K145" s="666"/>
      <c r="L145" s="666"/>
      <c r="M145" s="666"/>
      <c r="N145" s="666"/>
      <c r="O145" s="666"/>
      <c r="P145" s="666"/>
      <c r="Q145" s="666"/>
      <c r="R145" s="666"/>
      <c r="S145" s="666"/>
      <c r="T145" s="666"/>
      <c r="U145" s="666"/>
      <c r="V145" s="666"/>
      <c r="W145" s="666"/>
      <c r="X145" s="666"/>
      <c r="Y145" s="666"/>
      <c r="Z145" s="666"/>
      <c r="AA145" s="666"/>
      <c r="AB145" s="666"/>
      <c r="AC145" s="666"/>
      <c r="AD145" s="666"/>
      <c r="AE145" s="666"/>
      <c r="AF145" s="666"/>
      <c r="AG145" s="666"/>
      <c r="AH145" s="666"/>
      <c r="AI145" s="666"/>
      <c r="AJ145" s="666"/>
      <c r="AK145" s="666"/>
      <c r="AL145" s="666"/>
      <c r="AM145" s="666"/>
      <c r="AN145" s="666"/>
      <c r="AO145" s="666"/>
      <c r="AP145" s="666"/>
      <c r="AQ145" s="666"/>
      <c r="AR145" s="666"/>
      <c r="AS145" s="666"/>
      <c r="AT145" s="666"/>
      <c r="AU145" s="666"/>
      <c r="AV145" s="666"/>
      <c r="AW145" s="666"/>
      <c r="AX145" s="666"/>
      <c r="AY145" s="666"/>
      <c r="AZ145" s="666"/>
    </row>
    <row r="146" spans="1:52" x14ac:dyDescent="0.2">
      <c r="A146" s="666"/>
      <c r="B146" s="666"/>
      <c r="C146" s="666"/>
      <c r="D146" s="666"/>
      <c r="E146" s="666"/>
      <c r="F146" s="666"/>
      <c r="G146" s="666"/>
      <c r="H146" s="666"/>
      <c r="I146" s="666"/>
      <c r="J146" s="666"/>
      <c r="K146" s="666"/>
      <c r="L146" s="666"/>
      <c r="M146" s="666"/>
      <c r="N146" s="666"/>
      <c r="O146" s="666"/>
      <c r="P146" s="666"/>
      <c r="Q146" s="666"/>
      <c r="R146" s="666"/>
      <c r="S146" s="666"/>
      <c r="T146" s="666"/>
      <c r="U146" s="666"/>
      <c r="V146" s="666"/>
      <c r="W146" s="666"/>
      <c r="X146" s="666"/>
      <c r="Y146" s="666"/>
      <c r="Z146" s="666"/>
      <c r="AA146" s="666"/>
      <c r="AB146" s="666"/>
      <c r="AC146" s="666"/>
      <c r="AD146" s="666"/>
      <c r="AE146" s="666"/>
      <c r="AF146" s="666"/>
      <c r="AG146" s="666"/>
      <c r="AH146" s="666"/>
      <c r="AI146" s="666"/>
      <c r="AJ146" s="666"/>
      <c r="AK146" s="666"/>
      <c r="AL146" s="666"/>
      <c r="AM146" s="666"/>
      <c r="AN146" s="666"/>
      <c r="AO146" s="666"/>
      <c r="AP146" s="666"/>
      <c r="AQ146" s="666"/>
      <c r="AR146" s="666"/>
      <c r="AS146" s="666"/>
      <c r="AT146" s="666"/>
      <c r="AU146" s="666"/>
      <c r="AV146" s="666"/>
      <c r="AW146" s="666"/>
      <c r="AX146" s="666"/>
      <c r="AY146" s="666"/>
      <c r="AZ146" s="666"/>
    </row>
    <row r="147" spans="1:52" x14ac:dyDescent="0.2">
      <c r="A147" s="666"/>
      <c r="B147" s="666"/>
      <c r="C147" s="666"/>
      <c r="D147" s="666"/>
      <c r="E147" s="666"/>
      <c r="F147" s="666"/>
      <c r="G147" s="666"/>
      <c r="H147" s="666"/>
      <c r="I147" s="666"/>
      <c r="J147" s="666"/>
      <c r="K147" s="666"/>
      <c r="L147" s="666"/>
      <c r="M147" s="666"/>
      <c r="N147" s="666"/>
      <c r="O147" s="666"/>
      <c r="P147" s="666"/>
      <c r="Q147" s="666"/>
      <c r="R147" s="666"/>
      <c r="S147" s="666"/>
      <c r="T147" s="666"/>
      <c r="U147" s="666"/>
      <c r="V147" s="666"/>
      <c r="W147" s="666"/>
      <c r="X147" s="666"/>
      <c r="Y147" s="666"/>
      <c r="Z147" s="666"/>
      <c r="AA147" s="666"/>
      <c r="AB147" s="666"/>
      <c r="AC147" s="666"/>
      <c r="AD147" s="666"/>
      <c r="AE147" s="666"/>
      <c r="AF147" s="666"/>
      <c r="AG147" s="666"/>
      <c r="AH147" s="666"/>
      <c r="AI147" s="666"/>
      <c r="AJ147" s="666"/>
      <c r="AK147" s="666"/>
      <c r="AL147" s="666"/>
      <c r="AM147" s="666"/>
      <c r="AN147" s="666"/>
      <c r="AO147" s="666"/>
      <c r="AP147" s="666"/>
      <c r="AQ147" s="666"/>
      <c r="AR147" s="666"/>
      <c r="AS147" s="666"/>
      <c r="AT147" s="666"/>
      <c r="AU147" s="666"/>
      <c r="AV147" s="666"/>
      <c r="AW147" s="666"/>
      <c r="AX147" s="666"/>
      <c r="AY147" s="666"/>
      <c r="AZ147" s="666"/>
    </row>
    <row r="148" spans="1:52" x14ac:dyDescent="0.2">
      <c r="A148" s="666"/>
      <c r="B148" s="666"/>
      <c r="C148" s="666"/>
      <c r="D148" s="666"/>
      <c r="E148" s="666"/>
      <c r="F148" s="666"/>
      <c r="G148" s="666"/>
      <c r="H148" s="666"/>
      <c r="I148" s="666"/>
      <c r="J148" s="666"/>
      <c r="K148" s="666"/>
      <c r="L148" s="666"/>
      <c r="M148" s="666"/>
      <c r="N148" s="666"/>
      <c r="O148" s="666"/>
      <c r="P148" s="666"/>
      <c r="Q148" s="666"/>
      <c r="R148" s="666"/>
      <c r="S148" s="666"/>
      <c r="T148" s="666"/>
      <c r="U148" s="666"/>
      <c r="V148" s="666"/>
      <c r="W148" s="666"/>
      <c r="X148" s="666"/>
      <c r="Y148" s="666"/>
      <c r="Z148" s="666"/>
      <c r="AA148" s="666"/>
      <c r="AB148" s="666"/>
      <c r="AC148" s="666"/>
      <c r="AD148" s="666"/>
      <c r="AE148" s="666"/>
      <c r="AF148" s="666"/>
      <c r="AG148" s="666"/>
      <c r="AH148" s="666"/>
      <c r="AI148" s="666"/>
      <c r="AJ148" s="666"/>
      <c r="AK148" s="666"/>
      <c r="AL148" s="666"/>
      <c r="AM148" s="666"/>
      <c r="AN148" s="666"/>
      <c r="AO148" s="666"/>
      <c r="AP148" s="666"/>
      <c r="AQ148" s="666"/>
      <c r="AR148" s="666"/>
      <c r="AS148" s="666"/>
      <c r="AT148" s="666"/>
      <c r="AU148" s="666"/>
      <c r="AV148" s="666"/>
      <c r="AW148" s="666"/>
      <c r="AX148" s="666"/>
      <c r="AY148" s="666"/>
      <c r="AZ148" s="666"/>
    </row>
    <row r="149" spans="1:52" x14ac:dyDescent="0.2">
      <c r="A149" s="666"/>
      <c r="B149" s="666"/>
      <c r="C149" s="666"/>
      <c r="D149" s="666"/>
      <c r="E149" s="666"/>
      <c r="F149" s="666"/>
      <c r="G149" s="666"/>
      <c r="H149" s="666"/>
      <c r="I149" s="666"/>
      <c r="J149" s="666"/>
      <c r="K149" s="666"/>
      <c r="L149" s="666"/>
      <c r="M149" s="666"/>
      <c r="N149" s="666"/>
      <c r="O149" s="666"/>
      <c r="P149" s="666"/>
      <c r="Q149" s="666"/>
      <c r="R149" s="666"/>
      <c r="S149" s="666"/>
      <c r="T149" s="666"/>
      <c r="U149" s="666"/>
      <c r="V149" s="666"/>
      <c r="W149" s="66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row>
    <row r="150" spans="1:52" x14ac:dyDescent="0.2">
      <c r="A150" s="666"/>
      <c r="B150" s="666"/>
      <c r="C150" s="666"/>
      <c r="D150" s="666"/>
      <c r="E150" s="666"/>
      <c r="F150" s="666"/>
      <c r="G150" s="666"/>
      <c r="H150" s="666"/>
      <c r="I150" s="666"/>
      <c r="J150" s="666"/>
      <c r="K150" s="666"/>
      <c r="L150" s="666"/>
      <c r="M150" s="666"/>
      <c r="N150" s="666"/>
      <c r="O150" s="666"/>
      <c r="P150" s="666"/>
      <c r="Q150" s="666"/>
      <c r="R150" s="666"/>
      <c r="S150" s="666"/>
      <c r="T150" s="666"/>
      <c r="U150" s="666"/>
      <c r="V150" s="666"/>
      <c r="W150" s="666"/>
      <c r="X150" s="666"/>
      <c r="Y150" s="666"/>
      <c r="Z150" s="666"/>
      <c r="AA150" s="666"/>
      <c r="AB150" s="666"/>
      <c r="AC150" s="666"/>
      <c r="AD150" s="666"/>
      <c r="AE150" s="666"/>
      <c r="AF150" s="666"/>
      <c r="AG150" s="666"/>
      <c r="AH150" s="666"/>
      <c r="AI150" s="666"/>
      <c r="AJ150" s="666"/>
      <c r="AK150" s="666"/>
      <c r="AL150" s="666"/>
      <c r="AM150" s="666"/>
      <c r="AN150" s="666"/>
      <c r="AO150" s="666"/>
      <c r="AP150" s="666"/>
      <c r="AQ150" s="666"/>
      <c r="AR150" s="666"/>
      <c r="AS150" s="666"/>
      <c r="AT150" s="666"/>
      <c r="AU150" s="666"/>
      <c r="AV150" s="666"/>
      <c r="AW150" s="666"/>
      <c r="AX150" s="666"/>
      <c r="AY150" s="666"/>
      <c r="AZ150" s="666"/>
    </row>
    <row r="151" spans="1:52" x14ac:dyDescent="0.2">
      <c r="A151" s="666"/>
      <c r="B151" s="666"/>
      <c r="C151" s="666"/>
      <c r="D151" s="666"/>
      <c r="E151" s="666"/>
      <c r="F151" s="666"/>
      <c r="G151" s="666"/>
      <c r="H151" s="666"/>
      <c r="I151" s="666"/>
      <c r="J151" s="666"/>
      <c r="K151" s="666"/>
      <c r="L151" s="666"/>
      <c r="M151" s="666"/>
      <c r="N151" s="666"/>
      <c r="O151" s="666"/>
      <c r="P151" s="666"/>
      <c r="Q151" s="666"/>
      <c r="R151" s="666"/>
      <c r="S151" s="666"/>
      <c r="T151" s="666"/>
      <c r="U151" s="666"/>
      <c r="V151" s="666"/>
      <c r="W151" s="666"/>
      <c r="X151" s="666"/>
      <c r="Y151" s="666"/>
      <c r="Z151" s="666"/>
      <c r="AA151" s="666"/>
      <c r="AB151" s="666"/>
      <c r="AC151" s="666"/>
      <c r="AD151" s="666"/>
      <c r="AE151" s="666"/>
      <c r="AF151" s="666"/>
      <c r="AG151" s="666"/>
      <c r="AH151" s="666"/>
      <c r="AI151" s="666"/>
      <c r="AJ151" s="666"/>
      <c r="AK151" s="666"/>
      <c r="AL151" s="666"/>
      <c r="AM151" s="666"/>
      <c r="AN151" s="666"/>
      <c r="AO151" s="666"/>
      <c r="AP151" s="666"/>
      <c r="AQ151" s="666"/>
      <c r="AR151" s="666"/>
      <c r="AS151" s="666"/>
      <c r="AT151" s="666"/>
      <c r="AU151" s="666"/>
      <c r="AV151" s="666"/>
      <c r="AW151" s="666"/>
      <c r="AX151" s="666"/>
      <c r="AY151" s="666"/>
      <c r="AZ151" s="666"/>
    </row>
    <row r="152" spans="1:52" x14ac:dyDescent="0.2">
      <c r="A152" s="666"/>
      <c r="B152" s="666"/>
      <c r="C152" s="666"/>
      <c r="D152" s="666"/>
      <c r="E152" s="666"/>
      <c r="F152" s="666"/>
      <c r="G152" s="666"/>
      <c r="H152" s="666"/>
      <c r="I152" s="666"/>
      <c r="J152" s="666"/>
      <c r="K152" s="666"/>
      <c r="L152" s="666"/>
      <c r="M152" s="666"/>
      <c r="N152" s="666"/>
      <c r="O152" s="666"/>
      <c r="P152" s="666"/>
      <c r="Q152" s="666"/>
      <c r="R152" s="666"/>
      <c r="S152" s="666"/>
      <c r="T152" s="666"/>
      <c r="U152" s="666"/>
      <c r="V152" s="666"/>
      <c r="W152" s="666"/>
      <c r="X152" s="666"/>
      <c r="Y152" s="666"/>
      <c r="Z152" s="666"/>
      <c r="AA152" s="666"/>
      <c r="AB152" s="666"/>
      <c r="AC152" s="666"/>
      <c r="AD152" s="666"/>
      <c r="AE152" s="666"/>
      <c r="AF152" s="666"/>
      <c r="AG152" s="666"/>
      <c r="AH152" s="666"/>
      <c r="AI152" s="666"/>
      <c r="AJ152" s="666"/>
      <c r="AK152" s="666"/>
      <c r="AL152" s="666"/>
      <c r="AM152" s="666"/>
      <c r="AN152" s="666"/>
      <c r="AO152" s="666"/>
      <c r="AP152" s="666"/>
      <c r="AQ152" s="666"/>
      <c r="AR152" s="666"/>
      <c r="AS152" s="666"/>
      <c r="AT152" s="666"/>
      <c r="AU152" s="666"/>
      <c r="AV152" s="666"/>
      <c r="AW152" s="666"/>
      <c r="AX152" s="666"/>
      <c r="AY152" s="666"/>
      <c r="AZ152" s="666"/>
    </row>
    <row r="153" spans="1:52" x14ac:dyDescent="0.2">
      <c r="A153" s="666"/>
      <c r="B153" s="666"/>
      <c r="C153" s="666"/>
      <c r="D153" s="666"/>
      <c r="E153" s="666"/>
      <c r="F153" s="666"/>
      <c r="G153" s="666"/>
      <c r="H153" s="666"/>
      <c r="I153" s="666"/>
      <c r="J153" s="666"/>
      <c r="K153" s="666"/>
      <c r="L153" s="666"/>
      <c r="M153" s="666"/>
      <c r="N153" s="666"/>
      <c r="O153" s="666"/>
      <c r="P153" s="666"/>
      <c r="Q153" s="666"/>
      <c r="R153" s="666"/>
      <c r="S153" s="666"/>
      <c r="T153" s="666"/>
      <c r="U153" s="666"/>
      <c r="V153" s="666"/>
      <c r="W153" s="666"/>
      <c r="X153" s="666"/>
      <c r="Y153" s="666"/>
      <c r="Z153" s="666"/>
      <c r="AA153" s="666"/>
      <c r="AB153" s="666"/>
      <c r="AC153" s="666"/>
      <c r="AD153" s="666"/>
      <c r="AE153" s="666"/>
      <c r="AF153" s="666"/>
      <c r="AG153" s="666"/>
      <c r="AH153" s="666"/>
      <c r="AI153" s="666"/>
      <c r="AJ153" s="666"/>
      <c r="AK153" s="666"/>
      <c r="AL153" s="666"/>
      <c r="AM153" s="666"/>
      <c r="AN153" s="666"/>
      <c r="AO153" s="666"/>
      <c r="AP153" s="666"/>
      <c r="AQ153" s="666"/>
      <c r="AR153" s="666"/>
      <c r="AS153" s="666"/>
      <c r="AT153" s="666"/>
      <c r="AU153" s="666"/>
      <c r="AV153" s="666"/>
      <c r="AW153" s="666"/>
      <c r="AX153" s="666"/>
      <c r="AY153" s="666"/>
      <c r="AZ153" s="666"/>
    </row>
    <row r="154" spans="1:52" x14ac:dyDescent="0.2">
      <c r="A154" s="666"/>
      <c r="B154" s="666"/>
      <c r="C154" s="666"/>
      <c r="D154" s="666"/>
      <c r="E154" s="666"/>
      <c r="F154" s="666"/>
      <c r="G154" s="666"/>
      <c r="H154" s="666"/>
      <c r="I154" s="666"/>
      <c r="J154" s="666"/>
      <c r="K154" s="666"/>
      <c r="L154" s="666"/>
      <c r="M154" s="666"/>
      <c r="N154" s="666"/>
      <c r="O154" s="666"/>
      <c r="P154" s="666"/>
      <c r="Q154" s="666"/>
      <c r="R154" s="666"/>
      <c r="S154" s="666"/>
      <c r="T154" s="666"/>
      <c r="U154" s="666"/>
      <c r="V154" s="666"/>
      <c r="W154" s="666"/>
      <c r="X154" s="666"/>
      <c r="Y154" s="666"/>
      <c r="Z154" s="666"/>
      <c r="AA154" s="666"/>
      <c r="AB154" s="666"/>
      <c r="AC154" s="666"/>
      <c r="AD154" s="666"/>
      <c r="AE154" s="666"/>
      <c r="AF154" s="666"/>
      <c r="AG154" s="666"/>
      <c r="AH154" s="666"/>
      <c r="AI154" s="666"/>
      <c r="AJ154" s="666"/>
      <c r="AK154" s="666"/>
      <c r="AL154" s="666"/>
      <c r="AM154" s="666"/>
      <c r="AN154" s="666"/>
      <c r="AO154" s="666"/>
      <c r="AP154" s="666"/>
      <c r="AQ154" s="666"/>
      <c r="AR154" s="666"/>
      <c r="AS154" s="666"/>
      <c r="AT154" s="666"/>
      <c r="AU154" s="666"/>
      <c r="AV154" s="666"/>
      <c r="AW154" s="666"/>
      <c r="AX154" s="666"/>
      <c r="AY154" s="666"/>
      <c r="AZ154" s="666"/>
    </row>
    <row r="155" spans="1:52" x14ac:dyDescent="0.2">
      <c r="A155" s="666"/>
      <c r="B155" s="666"/>
      <c r="C155" s="666"/>
      <c r="D155" s="666"/>
      <c r="E155" s="666"/>
      <c r="F155" s="666"/>
      <c r="G155" s="666"/>
      <c r="H155" s="666"/>
      <c r="I155" s="666"/>
      <c r="J155" s="666"/>
      <c r="K155" s="666"/>
      <c r="L155" s="666"/>
      <c r="M155" s="666"/>
      <c r="N155" s="666"/>
      <c r="O155" s="666"/>
      <c r="P155" s="666"/>
      <c r="Q155" s="666"/>
      <c r="R155" s="666"/>
      <c r="S155" s="666"/>
      <c r="T155" s="666"/>
      <c r="U155" s="666"/>
      <c r="V155" s="666"/>
      <c r="W155" s="666"/>
      <c r="X155" s="666"/>
      <c r="Y155" s="666"/>
      <c r="Z155" s="666"/>
      <c r="AA155" s="666"/>
      <c r="AB155" s="666"/>
      <c r="AC155" s="666"/>
      <c r="AD155" s="666"/>
      <c r="AE155" s="666"/>
      <c r="AF155" s="666"/>
      <c r="AG155" s="666"/>
      <c r="AH155" s="666"/>
      <c r="AI155" s="666"/>
      <c r="AJ155" s="666"/>
      <c r="AK155" s="666"/>
      <c r="AL155" s="666"/>
      <c r="AM155" s="666"/>
      <c r="AN155" s="666"/>
      <c r="AO155" s="666"/>
      <c r="AP155" s="666"/>
      <c r="AQ155" s="666"/>
      <c r="AR155" s="666"/>
      <c r="AS155" s="666"/>
      <c r="AT155" s="666"/>
      <c r="AU155" s="666"/>
      <c r="AV155" s="666"/>
      <c r="AW155" s="666"/>
      <c r="AX155" s="666"/>
      <c r="AY155" s="666"/>
      <c r="AZ155" s="666"/>
    </row>
    <row r="156" spans="1:52" x14ac:dyDescent="0.2">
      <c r="A156" s="666"/>
      <c r="B156" s="666"/>
      <c r="C156" s="666"/>
      <c r="D156" s="666"/>
      <c r="E156" s="666"/>
      <c r="F156" s="666"/>
      <c r="G156" s="666"/>
      <c r="H156" s="666"/>
      <c r="I156" s="666"/>
      <c r="J156" s="666"/>
      <c r="K156" s="666"/>
      <c r="L156" s="666"/>
      <c r="M156" s="666"/>
      <c r="N156" s="666"/>
      <c r="O156" s="666"/>
      <c r="P156" s="666"/>
      <c r="Q156" s="666"/>
      <c r="R156" s="666"/>
      <c r="S156" s="666"/>
      <c r="T156" s="666"/>
      <c r="U156" s="666"/>
      <c r="V156" s="666"/>
      <c r="W156" s="666"/>
      <c r="X156" s="666"/>
      <c r="Y156" s="666"/>
      <c r="Z156" s="666"/>
      <c r="AA156" s="666"/>
      <c r="AB156" s="666"/>
      <c r="AC156" s="666"/>
      <c r="AD156" s="666"/>
      <c r="AE156" s="666"/>
      <c r="AF156" s="666"/>
      <c r="AG156" s="666"/>
      <c r="AH156" s="666"/>
      <c r="AI156" s="666"/>
      <c r="AJ156" s="666"/>
      <c r="AK156" s="666"/>
      <c r="AL156" s="666"/>
      <c r="AM156" s="666"/>
      <c r="AN156" s="666"/>
      <c r="AO156" s="666"/>
      <c r="AP156" s="666"/>
      <c r="AQ156" s="666"/>
      <c r="AR156" s="666"/>
      <c r="AS156" s="666"/>
      <c r="AT156" s="666"/>
      <c r="AU156" s="666"/>
      <c r="AV156" s="666"/>
      <c r="AW156" s="666"/>
      <c r="AX156" s="666"/>
      <c r="AY156" s="666"/>
      <c r="AZ156" s="666"/>
    </row>
    <row r="157" spans="1:52" x14ac:dyDescent="0.2">
      <c r="A157" s="666"/>
      <c r="B157" s="666"/>
      <c r="C157" s="666"/>
      <c r="D157" s="666"/>
      <c r="E157" s="666"/>
      <c r="F157" s="666"/>
      <c r="G157" s="666"/>
      <c r="H157" s="666"/>
      <c r="I157" s="666"/>
      <c r="J157" s="666"/>
      <c r="K157" s="666"/>
      <c r="L157" s="666"/>
      <c r="M157" s="666"/>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666"/>
      <c r="AX157" s="666"/>
      <c r="AY157" s="666"/>
      <c r="AZ157" s="666"/>
    </row>
    <row r="158" spans="1:52" x14ac:dyDescent="0.2">
      <c r="A158" s="666"/>
      <c r="B158" s="666"/>
      <c r="C158" s="666"/>
      <c r="D158" s="666"/>
      <c r="E158" s="666"/>
      <c r="F158" s="666"/>
      <c r="G158" s="666"/>
      <c r="H158" s="666"/>
      <c r="I158" s="666"/>
      <c r="J158" s="666"/>
      <c r="K158" s="666"/>
      <c r="L158" s="666"/>
      <c r="M158" s="666"/>
      <c r="N158" s="666"/>
      <c r="O158" s="666"/>
      <c r="P158" s="666"/>
      <c r="Q158" s="666"/>
      <c r="R158" s="666"/>
      <c r="S158" s="666"/>
      <c r="T158" s="666"/>
      <c r="U158" s="666"/>
      <c r="V158" s="666"/>
      <c r="W158" s="666"/>
      <c r="X158" s="666"/>
      <c r="Y158" s="666"/>
      <c r="Z158" s="666"/>
      <c r="AA158" s="666"/>
      <c r="AB158" s="666"/>
      <c r="AC158" s="666"/>
      <c r="AD158" s="666"/>
      <c r="AE158" s="666"/>
      <c r="AF158" s="666"/>
      <c r="AG158" s="666"/>
      <c r="AH158" s="666"/>
      <c r="AI158" s="666"/>
      <c r="AJ158" s="666"/>
      <c r="AK158" s="666"/>
      <c r="AL158" s="666"/>
      <c r="AM158" s="666"/>
      <c r="AN158" s="666"/>
      <c r="AO158" s="666"/>
      <c r="AP158" s="666"/>
      <c r="AQ158" s="666"/>
      <c r="AR158" s="666"/>
      <c r="AS158" s="666"/>
      <c r="AT158" s="666"/>
      <c r="AU158" s="666"/>
      <c r="AV158" s="666"/>
      <c r="AW158" s="666"/>
      <c r="AX158" s="666"/>
      <c r="AY158" s="666"/>
      <c r="AZ158" s="666"/>
    </row>
    <row r="159" spans="1:52" x14ac:dyDescent="0.2">
      <c r="A159" s="666"/>
      <c r="B159" s="666"/>
      <c r="C159" s="666"/>
      <c r="D159" s="666"/>
      <c r="E159" s="666"/>
      <c r="F159" s="666"/>
      <c r="G159" s="666"/>
      <c r="H159" s="666"/>
      <c r="I159" s="666"/>
      <c r="J159" s="666"/>
      <c r="K159" s="666"/>
      <c r="L159" s="666"/>
      <c r="M159" s="666"/>
      <c r="N159" s="666"/>
      <c r="O159" s="666"/>
      <c r="P159" s="666"/>
      <c r="Q159" s="666"/>
      <c r="R159" s="666"/>
      <c r="S159" s="666"/>
      <c r="T159" s="666"/>
      <c r="U159" s="666"/>
      <c r="V159" s="666"/>
      <c r="W159" s="666"/>
      <c r="X159" s="666"/>
      <c r="Y159" s="666"/>
      <c r="Z159" s="666"/>
      <c r="AA159" s="666"/>
      <c r="AB159" s="666"/>
      <c r="AC159" s="666"/>
      <c r="AD159" s="666"/>
      <c r="AE159" s="666"/>
      <c r="AF159" s="666"/>
      <c r="AG159" s="666"/>
      <c r="AH159" s="666"/>
      <c r="AI159" s="666"/>
      <c r="AJ159" s="666"/>
      <c r="AK159" s="666"/>
      <c r="AL159" s="666"/>
      <c r="AM159" s="666"/>
      <c r="AN159" s="666"/>
      <c r="AO159" s="666"/>
      <c r="AP159" s="666"/>
      <c r="AQ159" s="666"/>
      <c r="AR159" s="666"/>
      <c r="AS159" s="666"/>
      <c r="AT159" s="666"/>
      <c r="AU159" s="666"/>
      <c r="AV159" s="666"/>
      <c r="AW159" s="666"/>
      <c r="AX159" s="666"/>
      <c r="AY159" s="666"/>
      <c r="AZ159" s="666"/>
    </row>
    <row r="160" spans="1:52" x14ac:dyDescent="0.2">
      <c r="A160" s="666"/>
      <c r="B160" s="666"/>
      <c r="C160" s="666"/>
      <c r="D160" s="666"/>
      <c r="E160" s="666"/>
      <c r="F160" s="666"/>
      <c r="G160" s="666"/>
      <c r="H160" s="666"/>
      <c r="I160" s="666"/>
      <c r="J160" s="666"/>
      <c r="K160" s="666"/>
      <c r="L160" s="666"/>
      <c r="M160" s="666"/>
      <c r="N160" s="666"/>
      <c r="O160" s="666"/>
      <c r="P160" s="666"/>
      <c r="Q160" s="666"/>
      <c r="R160" s="666"/>
      <c r="S160" s="666"/>
      <c r="T160" s="666"/>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c r="AQ160" s="666"/>
      <c r="AR160" s="666"/>
      <c r="AS160" s="666"/>
      <c r="AT160" s="666"/>
      <c r="AU160" s="666"/>
      <c r="AV160" s="666"/>
      <c r="AW160" s="666"/>
      <c r="AX160" s="666"/>
      <c r="AY160" s="666"/>
      <c r="AZ160" s="666"/>
    </row>
  </sheetData>
  <printOptions horizontalCentered="1"/>
  <pageMargins left="0.98425196850393704" right="0.78740157480314965" top="0.78740157480314965" bottom="0.78740157480314965" header="0.31496062992125984" footer="0.31496062992125984"/>
  <pageSetup paperSize="9" scale="82" orientation="portrait" blackAndWhite="1" r:id="rId1"/>
  <headerFooter>
    <oddHeader>&amp;R&amp;"Verdana,Standard"&amp;10Version 23.1</oddHeader>
  </headerFooter>
  <ignoredErrors>
    <ignoredError sqref="C46:C47 C50" unlockedFormula="1"/>
    <ignoredError sqref="D49"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B49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pageSetUpPr fitToPage="1"/>
  </sheetPr>
  <dimension ref="A1:BA160"/>
  <sheetViews>
    <sheetView zoomScale="110" zoomScaleNormal="110" workbookViewId="0">
      <selection activeCell="O60" sqref="O60"/>
    </sheetView>
  </sheetViews>
  <sheetFormatPr baseColWidth="10" defaultRowHeight="12.75" x14ac:dyDescent="0.2"/>
  <cols>
    <col min="1" max="1" width="30.75" customWidth="1"/>
    <col min="2" max="2" width="10.875" bestFit="1" customWidth="1"/>
    <col min="3" max="3" width="11" style="156"/>
    <col min="4" max="4" width="11" style="163"/>
    <col min="5" max="5" width="11" style="162"/>
    <col min="6" max="6" width="7.625" style="162" customWidth="1"/>
    <col min="7" max="7" width="24.75" style="162" customWidth="1"/>
    <col min="8" max="8" width="7.875" hidden="1" customWidth="1"/>
    <col min="9" max="9" width="11.375" style="156" hidden="1" customWidth="1"/>
    <col min="10" max="10" width="3.125" style="157" hidden="1" customWidth="1"/>
    <col min="11" max="11" width="3.125" hidden="1" customWidth="1"/>
    <col min="12" max="12" width="24.875" hidden="1" customWidth="1"/>
  </cols>
  <sheetData>
    <row r="1" spans="1:53" ht="18" x14ac:dyDescent="0.2">
      <c r="A1" s="851" t="s">
        <v>900</v>
      </c>
      <c r="B1" s="851"/>
      <c r="C1" s="852"/>
      <c r="D1" s="853"/>
      <c r="E1" s="293"/>
      <c r="F1" s="293"/>
      <c r="G1" s="293"/>
      <c r="H1" s="281"/>
      <c r="I1" s="852"/>
      <c r="J1" s="828"/>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666"/>
    </row>
    <row r="2" spans="1:53" ht="18" customHeight="1" x14ac:dyDescent="0.2">
      <c r="A2" s="854" t="s">
        <v>901</v>
      </c>
      <c r="B2" s="854"/>
      <c r="C2" s="852"/>
      <c r="D2" s="853"/>
      <c r="E2" s="293"/>
      <c r="F2" s="293"/>
      <c r="G2" s="293"/>
      <c r="H2" s="281"/>
      <c r="I2" s="852"/>
      <c r="J2" s="828"/>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666"/>
    </row>
    <row r="3" spans="1:53" ht="18" customHeight="1" x14ac:dyDescent="0.2">
      <c r="A3" s="855"/>
      <c r="B3" s="855"/>
      <c r="C3" s="852"/>
      <c r="D3" s="853"/>
      <c r="E3" s="293"/>
      <c r="F3" s="293"/>
      <c r="G3" s="293"/>
      <c r="H3" s="281"/>
      <c r="I3" s="852"/>
      <c r="J3" s="828"/>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666"/>
    </row>
    <row r="4" spans="1:53" ht="17.25" customHeight="1" x14ac:dyDescent="0.2">
      <c r="A4" s="856" t="s">
        <v>902</v>
      </c>
      <c r="B4" s="857"/>
      <c r="C4" s="852" t="s">
        <v>904</v>
      </c>
      <c r="D4" s="858" t="s">
        <v>905</v>
      </c>
      <c r="E4" s="859" t="s">
        <v>153</v>
      </c>
      <c r="F4" s="293"/>
      <c r="G4" s="293"/>
      <c r="H4" s="281"/>
      <c r="I4" s="852"/>
      <c r="J4" s="828"/>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666"/>
    </row>
    <row r="5" spans="1:53" ht="10.5" customHeight="1" x14ac:dyDescent="0.2">
      <c r="A5" s="855"/>
      <c r="B5" s="855"/>
      <c r="C5" s="852"/>
      <c r="D5" s="853"/>
      <c r="E5" s="293"/>
      <c r="F5" s="293"/>
      <c r="G5" s="293"/>
      <c r="H5" s="281"/>
      <c r="I5" s="852"/>
      <c r="J5" s="828"/>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666"/>
    </row>
    <row r="6" spans="1:53" ht="18" customHeight="1" x14ac:dyDescent="0.2">
      <c r="A6" s="860" t="s">
        <v>903</v>
      </c>
      <c r="B6" s="860"/>
      <c r="C6" s="884">
        <v>0</v>
      </c>
      <c r="D6" s="887">
        <v>0</v>
      </c>
      <c r="E6" s="861">
        <f>C6*D6</f>
        <v>0</v>
      </c>
      <c r="F6" s="293"/>
      <c r="G6" s="293"/>
      <c r="H6" s="281"/>
      <c r="I6" s="852"/>
      <c r="J6" s="828"/>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666"/>
    </row>
    <row r="7" spans="1:53" ht="18" customHeight="1" x14ac:dyDescent="0.2">
      <c r="A7" s="855"/>
      <c r="B7" s="855"/>
      <c r="C7" s="852"/>
      <c r="D7" s="853"/>
      <c r="E7" s="853"/>
      <c r="F7" s="293"/>
      <c r="G7" s="293"/>
      <c r="H7" s="281"/>
      <c r="I7" s="852"/>
      <c r="J7" s="828"/>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666"/>
    </row>
    <row r="8" spans="1:53" ht="18" customHeight="1" x14ac:dyDescent="0.2">
      <c r="A8" s="856" t="s">
        <v>906</v>
      </c>
      <c r="B8" s="857"/>
      <c r="C8" s="852"/>
      <c r="D8" s="853"/>
      <c r="E8" s="853"/>
      <c r="F8" s="293"/>
      <c r="G8" s="293"/>
      <c r="H8" s="877"/>
      <c r="I8" s="878" t="s">
        <v>1045</v>
      </c>
      <c r="J8" s="828"/>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666"/>
    </row>
    <row r="9" spans="1:53" ht="10.5" customHeight="1" x14ac:dyDescent="0.2">
      <c r="A9" s="855"/>
      <c r="B9" s="855"/>
      <c r="C9" s="852"/>
      <c r="D9" s="853"/>
      <c r="E9" s="853"/>
      <c r="F9" s="293"/>
      <c r="G9" s="293"/>
      <c r="H9" s="877"/>
      <c r="I9" s="882" t="s">
        <v>1044</v>
      </c>
      <c r="J9" s="828"/>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666"/>
    </row>
    <row r="10" spans="1:53" ht="17.25" customHeight="1" x14ac:dyDescent="0.2">
      <c r="A10" s="862" t="s">
        <v>912</v>
      </c>
      <c r="B10" s="863"/>
      <c r="C10" s="852"/>
      <c r="D10" s="853"/>
      <c r="E10" s="853"/>
      <c r="F10" s="872" t="s">
        <v>930</v>
      </c>
      <c r="G10" s="293"/>
      <c r="H10" s="877"/>
      <c r="I10" s="878"/>
      <c r="J10" s="879"/>
      <c r="K10" s="281"/>
      <c r="L10" s="281" t="s">
        <v>913</v>
      </c>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666"/>
    </row>
    <row r="11" spans="1:53" ht="17.25" customHeight="1" x14ac:dyDescent="0.2">
      <c r="A11" s="860" t="s">
        <v>903</v>
      </c>
      <c r="B11" s="860"/>
      <c r="C11" s="885">
        <f>'Kalkulation Herstellungskosten'!C134</f>
        <v>0</v>
      </c>
      <c r="D11" s="875">
        <f>'Kalkulation Herstellungskosten'!E134</f>
        <v>0</v>
      </c>
      <c r="E11" s="861">
        <f>IF(OR(C11=0,D11=0),'Kalkulation Herstellungskosten'!E234,C11*D11)</f>
        <v>0</v>
      </c>
      <c r="F11" s="874">
        <f>Stab_Ö_Lohnnebenkosten!V59</f>
        <v>0</v>
      </c>
      <c r="G11" s="293"/>
      <c r="H11" s="880">
        <f>SUM(E11:F11)</f>
        <v>0</v>
      </c>
      <c r="I11" s="878"/>
      <c r="J11" s="879"/>
      <c r="K11" s="281">
        <v>1</v>
      </c>
      <c r="L11" s="883"/>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666"/>
    </row>
    <row r="12" spans="1:53" ht="17.25" customHeight="1" x14ac:dyDescent="0.2">
      <c r="A12" s="860" t="s">
        <v>907</v>
      </c>
      <c r="B12" s="860"/>
      <c r="C12" s="885">
        <f>'Kalkulation Herstellungskosten'!C135</f>
        <v>0</v>
      </c>
      <c r="D12" s="875">
        <f>'Kalkulation Herstellungskosten'!E135</f>
        <v>0</v>
      </c>
      <c r="E12" s="861">
        <f>C12*D12</f>
        <v>0</v>
      </c>
      <c r="F12" s="874">
        <f>Stab_Ö_Lohnnebenkosten!V60</f>
        <v>0</v>
      </c>
      <c r="G12" s="293"/>
      <c r="H12" s="877"/>
      <c r="I12" s="878"/>
      <c r="J12" s="879"/>
      <c r="K12" s="281">
        <v>2</v>
      </c>
      <c r="L12" s="281" t="s">
        <v>602</v>
      </c>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666"/>
    </row>
    <row r="13" spans="1:53" ht="18" customHeight="1" x14ac:dyDescent="0.2">
      <c r="A13" s="855" t="s">
        <v>920</v>
      </c>
      <c r="B13" s="855"/>
      <c r="C13" s="852"/>
      <c r="D13" s="853"/>
      <c r="E13" s="853"/>
      <c r="F13" s="873"/>
      <c r="G13" s="293"/>
      <c r="H13" s="877"/>
      <c r="I13" s="878"/>
      <c r="J13" s="879"/>
      <c r="K13" s="281">
        <v>3</v>
      </c>
      <c r="L13" s="281" t="s">
        <v>149</v>
      </c>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666"/>
    </row>
    <row r="14" spans="1:53" ht="18" customHeight="1" x14ac:dyDescent="0.2">
      <c r="A14" s="830"/>
      <c r="B14" s="830"/>
      <c r="C14" s="884">
        <v>0</v>
      </c>
      <c r="D14" s="887">
        <v>0</v>
      </c>
      <c r="E14" s="861">
        <f>C14*D14</f>
        <v>0</v>
      </c>
      <c r="F14" s="874">
        <f>IF(I14=0,0,INDEX(Stab_Ö_Lohnnebenkosten!$V$5:$V$89,MATCH(G14,Stab_Ö_Lohnnebenkosten!$A$5:$A$56,0))*E14/I14)</f>
        <v>0</v>
      </c>
      <c r="G14" s="876">
        <f t="shared" ref="G14:G20" si="0">VLOOKUP(H14,$K$11:$L$28,2)</f>
        <v>0</v>
      </c>
      <c r="H14" s="877">
        <v>1</v>
      </c>
      <c r="I14" s="881">
        <f>IF(H14=1,0,INDEX(Stab_Ö_Lohnnebenkosten!$L$5:$L$89,MATCH(G14,Stab_Ö_Lohnnebenkosten!$A$5:$A$56,0)))</f>
        <v>0</v>
      </c>
      <c r="J14" s="879"/>
      <c r="K14" s="281">
        <v>4</v>
      </c>
      <c r="L14" s="281" t="s">
        <v>144</v>
      </c>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666"/>
    </row>
    <row r="15" spans="1:53" ht="17.25" customHeight="1" x14ac:dyDescent="0.2">
      <c r="A15" s="830"/>
      <c r="B15" s="830"/>
      <c r="C15" s="884">
        <v>0</v>
      </c>
      <c r="D15" s="887">
        <v>0</v>
      </c>
      <c r="E15" s="861">
        <f>C15*D15</f>
        <v>0</v>
      </c>
      <c r="F15" s="874">
        <f>IF(I15=0,0,INDEX(Stab_Ö_Lohnnebenkosten!$V$5:$V$89,MATCH(G15,Stab_Ö_Lohnnebenkosten!$A$5:$A$56,0))*E15/I15)</f>
        <v>0</v>
      </c>
      <c r="G15" s="876">
        <f t="shared" si="0"/>
        <v>0</v>
      </c>
      <c r="H15" s="877">
        <v>1</v>
      </c>
      <c r="I15" s="881">
        <f>IF(H15=1,0,INDEX(Stab_Ö_Lohnnebenkosten!$L$5:$L$89,MATCH(G15,Stab_Ö_Lohnnebenkosten!$A$5:$A$56,0)))</f>
        <v>0</v>
      </c>
      <c r="J15" s="879"/>
      <c r="K15" s="281">
        <v>5</v>
      </c>
      <c r="L15" s="281" t="s">
        <v>610</v>
      </c>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666"/>
    </row>
    <row r="16" spans="1:53" ht="18" customHeight="1" x14ac:dyDescent="0.2">
      <c r="A16" s="830"/>
      <c r="B16" s="830"/>
      <c r="C16" s="884">
        <v>0</v>
      </c>
      <c r="D16" s="887">
        <v>0</v>
      </c>
      <c r="E16" s="861">
        <f t="shared" ref="E16:E20" si="1">C16*D16</f>
        <v>0</v>
      </c>
      <c r="F16" s="874">
        <f>IF(I16=0,0,INDEX(Stab_Ö_Lohnnebenkosten!$V$5:$V$89,MATCH(G16,Stab_Ö_Lohnnebenkosten!$A$5:$A$56,0))*E16/I16)</f>
        <v>0</v>
      </c>
      <c r="G16" s="876">
        <f t="shared" si="0"/>
        <v>0</v>
      </c>
      <c r="H16" s="877">
        <v>1</v>
      </c>
      <c r="I16" s="881">
        <f>IF(H16=1,0,INDEX(Stab_Ö_Lohnnebenkosten!$L$5:$L$89,MATCH(G16,Stab_Ö_Lohnnebenkosten!$A$5:$A$56,0)))</f>
        <v>0</v>
      </c>
      <c r="J16" s="879"/>
      <c r="K16" s="281">
        <v>6</v>
      </c>
      <c r="L16" s="281" t="s">
        <v>803</v>
      </c>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666"/>
      <c r="AZ16" s="666"/>
      <c r="BA16" s="666"/>
    </row>
    <row r="17" spans="1:53" ht="18" customHeight="1" x14ac:dyDescent="0.2">
      <c r="A17" s="830"/>
      <c r="B17" s="830"/>
      <c r="C17" s="884">
        <v>0</v>
      </c>
      <c r="D17" s="887">
        <v>0</v>
      </c>
      <c r="E17" s="861">
        <f t="shared" si="1"/>
        <v>0</v>
      </c>
      <c r="F17" s="874">
        <f>IF(I17=0,0,INDEX(Stab_Ö_Lohnnebenkosten!$V$5:$V$89,MATCH(G17,Stab_Ö_Lohnnebenkosten!$A$5:$A$56,0))*E17/I17)</f>
        <v>0</v>
      </c>
      <c r="G17" s="876">
        <f t="shared" si="0"/>
        <v>0</v>
      </c>
      <c r="H17" s="877">
        <v>1</v>
      </c>
      <c r="I17" s="881">
        <f>IF(H17=1,0,INDEX(Stab_Ö_Lohnnebenkosten!$L$5:$L$89,MATCH(G17,Stab_Ö_Lohnnebenkosten!$A$5:$A$56,0)))</f>
        <v>0</v>
      </c>
      <c r="J17" s="879"/>
      <c r="K17" s="281">
        <v>7</v>
      </c>
      <c r="L17" s="281" t="s">
        <v>804</v>
      </c>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666"/>
      <c r="AZ17" s="666"/>
      <c r="BA17" s="666"/>
    </row>
    <row r="18" spans="1:53" ht="18" customHeight="1" x14ac:dyDescent="0.2">
      <c r="A18" s="830"/>
      <c r="B18" s="830"/>
      <c r="C18" s="884">
        <v>0</v>
      </c>
      <c r="D18" s="887">
        <v>0</v>
      </c>
      <c r="E18" s="861">
        <f t="shared" si="1"/>
        <v>0</v>
      </c>
      <c r="F18" s="874">
        <f>IF(I18=0,0,INDEX(Stab_Ö_Lohnnebenkosten!$V$5:$V$89,MATCH(G18,Stab_Ö_Lohnnebenkosten!$A$5:$A$56,0))*E18/I18)</f>
        <v>0</v>
      </c>
      <c r="G18" s="876">
        <f t="shared" si="0"/>
        <v>0</v>
      </c>
      <c r="H18" s="877">
        <v>1</v>
      </c>
      <c r="I18" s="881">
        <f>IF(H18=1,0,INDEX(Stab_Ö_Lohnnebenkosten!$L$5:$L$89,MATCH(G18,Stab_Ö_Lohnnebenkosten!$A$5:$A$56,0)))</f>
        <v>0</v>
      </c>
      <c r="J18" s="879"/>
      <c r="K18" s="281">
        <v>8</v>
      </c>
      <c r="L18" s="281" t="s">
        <v>185</v>
      </c>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666"/>
      <c r="AY18" s="666"/>
      <c r="AZ18" s="666"/>
      <c r="BA18" s="666"/>
    </row>
    <row r="19" spans="1:53" ht="18" customHeight="1" x14ac:dyDescent="0.2">
      <c r="A19" s="830"/>
      <c r="B19" s="830"/>
      <c r="C19" s="884">
        <v>0</v>
      </c>
      <c r="D19" s="887">
        <v>0</v>
      </c>
      <c r="E19" s="861">
        <f t="shared" si="1"/>
        <v>0</v>
      </c>
      <c r="F19" s="874">
        <f>IF(I19=0,0,INDEX(Stab_Ö_Lohnnebenkosten!$V$5:$V$89,MATCH(G19,Stab_Ö_Lohnnebenkosten!$A$5:$A$56,0))*E19/I19)</f>
        <v>0</v>
      </c>
      <c r="G19" s="876">
        <f t="shared" si="0"/>
        <v>0</v>
      </c>
      <c r="H19" s="877">
        <v>1</v>
      </c>
      <c r="I19" s="881">
        <f>IF(H19=1,0,INDEX(Stab_Ö_Lohnnebenkosten!$L$5:$L$89,MATCH(G19,Stab_Ö_Lohnnebenkosten!$A$5:$A$56,0)))</f>
        <v>0</v>
      </c>
      <c r="J19" s="879"/>
      <c r="K19" s="281">
        <v>9</v>
      </c>
      <c r="L19" s="281" t="s">
        <v>606</v>
      </c>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666"/>
      <c r="AY19" s="666"/>
      <c r="AZ19" s="666"/>
      <c r="BA19" s="666"/>
    </row>
    <row r="20" spans="1:53" ht="18" customHeight="1" x14ac:dyDescent="0.2">
      <c r="A20" s="830"/>
      <c r="B20" s="830"/>
      <c r="C20" s="884">
        <v>0</v>
      </c>
      <c r="D20" s="887">
        <v>0</v>
      </c>
      <c r="E20" s="861">
        <f t="shared" si="1"/>
        <v>0</v>
      </c>
      <c r="F20" s="874">
        <f>IF(I20=0,0,INDEX(Stab_Ö_Lohnnebenkosten!$V$5:$V$89,MATCH(G20,Stab_Ö_Lohnnebenkosten!$A$5:$A$56,0))*E20/I20)</f>
        <v>0</v>
      </c>
      <c r="G20" s="876">
        <f t="shared" si="0"/>
        <v>0</v>
      </c>
      <c r="H20" s="877">
        <v>1</v>
      </c>
      <c r="I20" s="881">
        <f>IF(H20=1,0,INDEX(Stab_Ö_Lohnnebenkosten!$L$5:$L$89,MATCH(G20,Stab_Ö_Lohnnebenkosten!$A$5:$A$56,0)))</f>
        <v>0</v>
      </c>
      <c r="J20" s="879"/>
      <c r="K20" s="281">
        <v>10</v>
      </c>
      <c r="L20" s="281" t="s">
        <v>615</v>
      </c>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666"/>
      <c r="AY20" s="666"/>
      <c r="AZ20" s="666"/>
      <c r="BA20" s="666"/>
    </row>
    <row r="21" spans="1:53" ht="10.5" customHeight="1" x14ac:dyDescent="0.2">
      <c r="A21" s="864"/>
      <c r="B21" s="864"/>
      <c r="C21" s="864"/>
      <c r="D21" s="868"/>
      <c r="E21" s="869"/>
      <c r="F21" s="868"/>
      <c r="G21" s="293"/>
      <c r="H21" s="281"/>
      <c r="I21" s="852"/>
      <c r="J21" s="879"/>
      <c r="K21" s="281">
        <v>11</v>
      </c>
      <c r="L21" s="281" t="s">
        <v>616</v>
      </c>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666"/>
      <c r="BA21" s="666"/>
    </row>
    <row r="22" spans="1:53" ht="16.5" customHeight="1" x14ac:dyDescent="0.2">
      <c r="A22" s="860" t="s">
        <v>919</v>
      </c>
      <c r="B22" s="860"/>
      <c r="C22" s="860"/>
      <c r="D22" s="870"/>
      <c r="E22" s="861">
        <f>SUM(F11:F20)</f>
        <v>0</v>
      </c>
      <c r="F22" s="293"/>
      <c r="G22" s="293"/>
      <c r="H22" s="281"/>
      <c r="I22" s="852"/>
      <c r="J22" s="879"/>
      <c r="K22" s="281">
        <v>12</v>
      </c>
      <c r="L22" s="281" t="s">
        <v>613</v>
      </c>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666"/>
      <c r="BA22" s="666"/>
    </row>
    <row r="23" spans="1:53" ht="10.5" customHeight="1" x14ac:dyDescent="0.2">
      <c r="A23" s="855"/>
      <c r="B23" s="855"/>
      <c r="C23" s="855"/>
      <c r="D23" s="867"/>
      <c r="E23" s="867"/>
      <c r="F23" s="293"/>
      <c r="G23" s="293"/>
      <c r="H23" s="281"/>
      <c r="I23" s="852"/>
      <c r="J23" s="828"/>
      <c r="K23" s="281">
        <v>13</v>
      </c>
      <c r="L23" s="281" t="s">
        <v>643</v>
      </c>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666"/>
      <c r="BA23" s="666"/>
    </row>
    <row r="24" spans="1:53" ht="17.25" customHeight="1" x14ac:dyDescent="0.2">
      <c r="A24" s="886" t="s">
        <v>200</v>
      </c>
      <c r="B24" s="860"/>
      <c r="C24" s="884"/>
      <c r="D24" s="887"/>
      <c r="E24" s="161">
        <v>0</v>
      </c>
      <c r="F24" s="293"/>
      <c r="G24" s="293"/>
      <c r="H24" s="281"/>
      <c r="I24" s="852"/>
      <c r="J24" s="828"/>
      <c r="K24" s="281">
        <v>14</v>
      </c>
      <c r="L24" s="281" t="s">
        <v>642</v>
      </c>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666"/>
      <c r="BA24" s="666"/>
    </row>
    <row r="25" spans="1:53" ht="10.5" customHeight="1" x14ac:dyDescent="0.2">
      <c r="A25" s="281"/>
      <c r="B25" s="281"/>
      <c r="C25" s="852"/>
      <c r="D25" s="853"/>
      <c r="E25" s="853"/>
      <c r="F25" s="293"/>
      <c r="G25" s="293"/>
      <c r="H25" s="281"/>
      <c r="I25" s="852"/>
      <c r="J25" s="828"/>
      <c r="K25" s="281">
        <v>15</v>
      </c>
      <c r="L25" s="281" t="s">
        <v>911</v>
      </c>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666"/>
      <c r="BA25" s="666"/>
    </row>
    <row r="26" spans="1:53" ht="18" customHeight="1" x14ac:dyDescent="0.2">
      <c r="A26" s="112" t="s">
        <v>1047</v>
      </c>
      <c r="B26" s="112"/>
      <c r="C26" s="112"/>
      <c r="D26" s="112"/>
      <c r="E26" s="888">
        <f>SUM(E6:E25)</f>
        <v>0</v>
      </c>
      <c r="F26" s="293"/>
      <c r="G26" s="293"/>
      <c r="H26" s="281"/>
      <c r="I26" s="852"/>
      <c r="J26" s="828"/>
      <c r="K26" s="281">
        <v>16</v>
      </c>
      <c r="L26" s="281" t="s">
        <v>908</v>
      </c>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666"/>
      <c r="BA26" s="666"/>
    </row>
    <row r="27" spans="1:53" ht="17.25" customHeight="1" x14ac:dyDescent="0.2">
      <c r="A27" s="281"/>
      <c r="B27" s="281"/>
      <c r="C27" s="852"/>
      <c r="D27" s="853"/>
      <c r="E27" s="853"/>
      <c r="F27" s="293"/>
      <c r="G27" s="293"/>
      <c r="H27" s="281"/>
      <c r="I27" s="852"/>
      <c r="J27" s="828"/>
      <c r="K27" s="281">
        <v>17</v>
      </c>
      <c r="L27" s="281" t="s">
        <v>910</v>
      </c>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666"/>
      <c r="BA27" s="666"/>
    </row>
    <row r="28" spans="1:53" ht="18" customHeight="1" x14ac:dyDescent="0.2">
      <c r="A28" s="865" t="s">
        <v>935</v>
      </c>
      <c r="B28" s="281"/>
      <c r="C28" s="852"/>
      <c r="D28" s="853"/>
      <c r="E28" s="853"/>
      <c r="F28" s="293"/>
      <c r="G28" s="293"/>
      <c r="H28" s="281"/>
      <c r="I28" s="852"/>
      <c r="J28" s="828"/>
      <c r="K28" s="281">
        <v>18</v>
      </c>
      <c r="L28" s="281" t="s">
        <v>909</v>
      </c>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666"/>
      <c r="BA28" s="666"/>
    </row>
    <row r="29" spans="1:53" ht="10.5" customHeight="1" x14ac:dyDescent="0.2">
      <c r="A29" s="866"/>
      <c r="B29" s="281"/>
      <c r="C29" s="852"/>
      <c r="D29" s="853"/>
      <c r="E29" s="853"/>
      <c r="F29" s="293"/>
      <c r="G29" s="293"/>
      <c r="H29" s="281"/>
      <c r="I29" s="852"/>
      <c r="J29" s="828"/>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666"/>
      <c r="BA29" s="666"/>
    </row>
    <row r="30" spans="1:53" ht="18" customHeight="1" x14ac:dyDescent="0.2">
      <c r="A30" s="886"/>
      <c r="B30" s="860"/>
      <c r="C30" s="884"/>
      <c r="D30" s="887"/>
      <c r="E30" s="161">
        <f t="shared" ref="E30:E32" si="2">C30*D30</f>
        <v>0</v>
      </c>
      <c r="F30" s="293"/>
      <c r="G30" s="293"/>
      <c r="H30" s="281"/>
      <c r="I30" s="852"/>
      <c r="J30" s="828"/>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666"/>
      <c r="BA30" s="666"/>
    </row>
    <row r="31" spans="1:53" ht="17.25" customHeight="1" x14ac:dyDescent="0.2">
      <c r="A31" s="886"/>
      <c r="B31" s="860"/>
      <c r="C31" s="884"/>
      <c r="D31" s="887"/>
      <c r="E31" s="161">
        <f t="shared" si="2"/>
        <v>0</v>
      </c>
      <c r="F31" s="293"/>
      <c r="G31" s="293"/>
      <c r="H31" s="281"/>
      <c r="I31" s="852"/>
      <c r="J31" s="828"/>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666"/>
      <c r="BA31" s="666"/>
    </row>
    <row r="32" spans="1:53" ht="18" customHeight="1" x14ac:dyDescent="0.2">
      <c r="A32" s="886"/>
      <c r="B32" s="860"/>
      <c r="C32" s="884"/>
      <c r="D32" s="887"/>
      <c r="E32" s="161">
        <f t="shared" si="2"/>
        <v>0</v>
      </c>
      <c r="F32" s="293"/>
      <c r="G32" s="293"/>
      <c r="H32" s="281"/>
      <c r="I32" s="852"/>
      <c r="J32" s="828"/>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666"/>
      <c r="BA32" s="666"/>
    </row>
    <row r="33" spans="1:53" ht="10.5" customHeight="1" x14ac:dyDescent="0.2">
      <c r="A33" s="281"/>
      <c r="B33" s="281"/>
      <c r="C33" s="852"/>
      <c r="D33" s="853"/>
      <c r="E33" s="853"/>
      <c r="F33" s="293"/>
      <c r="G33" s="293"/>
      <c r="H33" s="281"/>
      <c r="I33" s="852"/>
      <c r="J33" s="828"/>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666"/>
    </row>
    <row r="34" spans="1:53" ht="18" customHeight="1" x14ac:dyDescent="0.2">
      <c r="A34" s="112" t="s">
        <v>1046</v>
      </c>
      <c r="B34" s="112"/>
      <c r="C34" s="112"/>
      <c r="D34" s="112"/>
      <c r="E34" s="888">
        <f>SUM(E30:E33)</f>
        <v>0</v>
      </c>
      <c r="F34" s="293"/>
      <c r="G34" s="293"/>
      <c r="H34" s="281"/>
      <c r="I34" s="852"/>
      <c r="J34" s="828"/>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666"/>
    </row>
    <row r="35" spans="1:53" ht="17.25" customHeight="1" x14ac:dyDescent="0.2">
      <c r="A35" s="281"/>
      <c r="B35" s="281"/>
      <c r="C35" s="852"/>
      <c r="D35" s="853"/>
      <c r="E35" s="853"/>
      <c r="F35" s="293"/>
      <c r="G35" s="293"/>
      <c r="H35" s="281"/>
      <c r="I35" s="852"/>
      <c r="J35" s="828"/>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666"/>
    </row>
    <row r="36" spans="1:53" ht="18" customHeight="1" x14ac:dyDescent="0.2">
      <c r="A36" s="862" t="s">
        <v>934</v>
      </c>
      <c r="B36" s="281"/>
      <c r="C36" s="852"/>
      <c r="D36" s="853"/>
      <c r="E36" s="853"/>
      <c r="F36" s="293"/>
      <c r="G36" s="293"/>
      <c r="H36" s="281"/>
      <c r="I36" s="852"/>
      <c r="J36" s="828"/>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666"/>
    </row>
    <row r="37" spans="1:53" ht="12" customHeight="1" x14ac:dyDescent="0.2">
      <c r="A37" s="871" t="s">
        <v>933</v>
      </c>
      <c r="B37" s="281"/>
      <c r="C37" s="852"/>
      <c r="D37" s="853"/>
      <c r="E37" s="853"/>
      <c r="F37" s="293"/>
      <c r="G37" s="293"/>
      <c r="H37" s="281"/>
      <c r="I37" s="852"/>
      <c r="J37" s="828"/>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666"/>
    </row>
    <row r="38" spans="1:53" ht="10.5" customHeight="1" x14ac:dyDescent="0.2">
      <c r="A38" s="281"/>
      <c r="B38" s="281"/>
      <c r="C38" s="852"/>
      <c r="D38" s="853"/>
      <c r="E38" s="853"/>
      <c r="F38" s="293"/>
      <c r="G38" s="293"/>
      <c r="H38" s="281"/>
      <c r="I38" s="852"/>
      <c r="J38" s="828"/>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666"/>
    </row>
    <row r="39" spans="1:53" ht="17.25" customHeight="1" x14ac:dyDescent="0.2">
      <c r="A39" s="886"/>
      <c r="B39" s="860"/>
      <c r="C39" s="884"/>
      <c r="D39" s="887"/>
      <c r="E39" s="161">
        <f t="shared" ref="E39:E41" si="3">C39*D39</f>
        <v>0</v>
      </c>
      <c r="F39" s="293"/>
      <c r="G39" s="293"/>
      <c r="H39" s="281"/>
      <c r="I39" s="852"/>
      <c r="J39" s="828"/>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666"/>
    </row>
    <row r="40" spans="1:53" ht="17.25" customHeight="1" x14ac:dyDescent="0.2">
      <c r="A40" s="886"/>
      <c r="B40" s="860"/>
      <c r="C40" s="884"/>
      <c r="D40" s="887"/>
      <c r="E40" s="161">
        <f t="shared" si="3"/>
        <v>0</v>
      </c>
      <c r="F40" s="293"/>
      <c r="G40" s="293"/>
      <c r="H40" s="281"/>
      <c r="I40" s="852"/>
      <c r="J40" s="828"/>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666"/>
    </row>
    <row r="41" spans="1:53" ht="17.25" customHeight="1" x14ac:dyDescent="0.2">
      <c r="A41" s="886"/>
      <c r="B41" s="860"/>
      <c r="C41" s="884"/>
      <c r="D41" s="887"/>
      <c r="E41" s="161">
        <f t="shared" si="3"/>
        <v>0</v>
      </c>
      <c r="F41" s="293"/>
      <c r="G41" s="293"/>
      <c r="H41" s="281"/>
      <c r="I41" s="852"/>
      <c r="J41" s="828"/>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666"/>
    </row>
    <row r="42" spans="1:53" ht="10.5" customHeight="1" x14ac:dyDescent="0.2">
      <c r="A42" s="281"/>
      <c r="B42" s="281"/>
      <c r="C42" s="852"/>
      <c r="D42" s="853"/>
      <c r="E42" s="853"/>
      <c r="F42" s="293"/>
      <c r="G42" s="293"/>
      <c r="H42" s="281"/>
      <c r="I42" s="852"/>
      <c r="J42" s="828"/>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666"/>
    </row>
    <row r="43" spans="1:53" ht="18" customHeight="1" x14ac:dyDescent="0.2">
      <c r="A43" s="112" t="s">
        <v>1048</v>
      </c>
      <c r="B43" s="112"/>
      <c r="C43" s="112"/>
      <c r="D43" s="112"/>
      <c r="E43" s="888">
        <f>SUM(E39:E42)</f>
        <v>0</v>
      </c>
      <c r="F43" s="293"/>
      <c r="G43" s="293"/>
      <c r="H43" s="281"/>
      <c r="I43" s="852"/>
      <c r="J43" s="828"/>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666"/>
    </row>
    <row r="44" spans="1:53" ht="18" customHeight="1" x14ac:dyDescent="0.2">
      <c r="A44" s="281"/>
      <c r="B44" s="281"/>
      <c r="C44" s="852"/>
      <c r="D44" s="853"/>
      <c r="E44" s="853"/>
      <c r="F44" s="293"/>
      <c r="G44" s="293"/>
      <c r="H44" s="281"/>
      <c r="I44" s="852"/>
      <c r="J44" s="828"/>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666"/>
    </row>
    <row r="45" spans="1:53" ht="18" customHeight="1" x14ac:dyDescent="0.2">
      <c r="A45" s="862" t="s">
        <v>932</v>
      </c>
      <c r="B45" s="281"/>
      <c r="C45" s="852"/>
      <c r="D45" s="853"/>
      <c r="E45" s="853"/>
      <c r="F45" s="293"/>
      <c r="G45" s="293"/>
      <c r="H45" s="281"/>
      <c r="I45" s="852"/>
      <c r="J45" s="828"/>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666"/>
    </row>
    <row r="46" spans="1:53" ht="10.5" customHeight="1" x14ac:dyDescent="0.2">
      <c r="A46" s="281"/>
      <c r="B46" s="281"/>
      <c r="C46" s="852"/>
      <c r="D46" s="853"/>
      <c r="E46" s="853"/>
      <c r="F46" s="293"/>
      <c r="G46" s="293"/>
      <c r="H46" s="281"/>
      <c r="I46" s="852"/>
      <c r="J46" s="828"/>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666"/>
    </row>
    <row r="47" spans="1:53" ht="18" customHeight="1" x14ac:dyDescent="0.2">
      <c r="A47" s="860" t="s">
        <v>922</v>
      </c>
      <c r="B47" s="860"/>
      <c r="C47" s="884"/>
      <c r="D47" s="887"/>
      <c r="E47" s="161">
        <f t="shared" ref="E47:E52" si="4">C47*D47</f>
        <v>0</v>
      </c>
      <c r="F47" s="293"/>
      <c r="G47" s="293"/>
      <c r="H47" s="281"/>
      <c r="I47" s="852"/>
      <c r="J47" s="828"/>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666"/>
    </row>
    <row r="48" spans="1:53" ht="18" customHeight="1" x14ac:dyDescent="0.2">
      <c r="A48" s="860" t="s">
        <v>114</v>
      </c>
      <c r="B48" s="860"/>
      <c r="C48" s="884"/>
      <c r="D48" s="887"/>
      <c r="E48" s="161">
        <f t="shared" si="4"/>
        <v>0</v>
      </c>
      <c r="F48" s="293"/>
      <c r="G48" s="293"/>
      <c r="H48" s="281"/>
      <c r="I48" s="852"/>
      <c r="J48" s="828"/>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666"/>
    </row>
    <row r="49" spans="1:53" ht="18" customHeight="1" x14ac:dyDescent="0.2">
      <c r="A49" s="860" t="s">
        <v>921</v>
      </c>
      <c r="B49" s="860"/>
      <c r="C49" s="884"/>
      <c r="D49" s="887"/>
      <c r="E49" s="161">
        <f t="shared" si="4"/>
        <v>0</v>
      </c>
      <c r="F49" s="293"/>
      <c r="G49" s="293"/>
      <c r="H49" s="281"/>
      <c r="I49" s="852"/>
      <c r="J49" s="828"/>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666"/>
    </row>
    <row r="50" spans="1:53" ht="17.25" customHeight="1" x14ac:dyDescent="0.2">
      <c r="A50" s="860" t="s">
        <v>928</v>
      </c>
      <c r="B50" s="860"/>
      <c r="C50" s="884"/>
      <c r="D50" s="887"/>
      <c r="E50" s="161">
        <f t="shared" si="4"/>
        <v>0</v>
      </c>
      <c r="F50" s="293"/>
      <c r="G50" s="293"/>
      <c r="H50" s="281"/>
      <c r="I50" s="852"/>
      <c r="J50" s="828"/>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666"/>
    </row>
    <row r="51" spans="1:53" ht="17.25" customHeight="1" x14ac:dyDescent="0.2">
      <c r="A51" s="860" t="s">
        <v>937</v>
      </c>
      <c r="B51" s="860"/>
      <c r="C51" s="884"/>
      <c r="D51" s="887"/>
      <c r="E51" s="161">
        <f t="shared" si="4"/>
        <v>0</v>
      </c>
      <c r="F51" s="293"/>
      <c r="G51" s="293"/>
      <c r="H51" s="281"/>
      <c r="I51" s="852"/>
      <c r="J51" s="828"/>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666"/>
    </row>
    <row r="52" spans="1:53" ht="17.25" customHeight="1" x14ac:dyDescent="0.2">
      <c r="A52" s="886" t="s">
        <v>686</v>
      </c>
      <c r="B52" s="860"/>
      <c r="C52" s="884"/>
      <c r="D52" s="887"/>
      <c r="E52" s="161">
        <f t="shared" si="4"/>
        <v>0</v>
      </c>
      <c r="F52" s="293"/>
      <c r="G52" s="293"/>
      <c r="H52" s="281"/>
      <c r="I52" s="852"/>
      <c r="J52" s="828"/>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666"/>
    </row>
    <row r="53" spans="1:53" ht="10.5" customHeight="1" x14ac:dyDescent="0.2">
      <c r="A53" s="281"/>
      <c r="B53" s="281"/>
      <c r="C53" s="852"/>
      <c r="D53" s="853"/>
      <c r="E53" s="853"/>
      <c r="F53" s="293"/>
      <c r="G53" s="293"/>
      <c r="H53" s="281"/>
      <c r="I53" s="852"/>
      <c r="J53" s="828"/>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666"/>
    </row>
    <row r="54" spans="1:53" ht="18" customHeight="1" x14ac:dyDescent="0.2">
      <c r="A54" s="112" t="s">
        <v>1049</v>
      </c>
      <c r="B54" s="112"/>
      <c r="C54" s="112"/>
      <c r="D54" s="112"/>
      <c r="E54" s="888">
        <f>SUM(E47:E53)</f>
        <v>0</v>
      </c>
      <c r="F54" s="293"/>
      <c r="G54" s="293"/>
      <c r="H54" s="281"/>
      <c r="I54" s="852"/>
      <c r="J54" s="828"/>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666"/>
    </row>
    <row r="55" spans="1:53" ht="18" customHeight="1" x14ac:dyDescent="0.2">
      <c r="A55" s="281"/>
      <c r="B55" s="281"/>
      <c r="C55" s="852"/>
      <c r="D55" s="853"/>
      <c r="E55" s="853"/>
      <c r="F55" s="293"/>
      <c r="G55" s="293"/>
      <c r="H55" s="281"/>
      <c r="I55" s="852"/>
      <c r="J55" s="828"/>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666"/>
    </row>
    <row r="56" spans="1:53" ht="18" customHeight="1" x14ac:dyDescent="0.2">
      <c r="A56" s="862" t="s">
        <v>923</v>
      </c>
      <c r="B56" s="281"/>
      <c r="C56" s="852"/>
      <c r="D56" s="853"/>
      <c r="E56" s="853"/>
      <c r="F56" s="293"/>
      <c r="G56" s="293"/>
      <c r="H56" s="281"/>
      <c r="I56" s="852"/>
      <c r="J56" s="828"/>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666"/>
    </row>
    <row r="57" spans="1:53" ht="10.5" customHeight="1" x14ac:dyDescent="0.2">
      <c r="A57" s="281"/>
      <c r="B57" s="281"/>
      <c r="C57" s="852"/>
      <c r="D57" s="853"/>
      <c r="E57" s="853"/>
      <c r="F57" s="293"/>
      <c r="G57" s="293"/>
      <c r="H57" s="281"/>
      <c r="I57" s="852"/>
      <c r="J57" s="828"/>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666"/>
    </row>
    <row r="58" spans="1:53" ht="17.25" customHeight="1" x14ac:dyDescent="0.2">
      <c r="A58" s="860" t="s">
        <v>924</v>
      </c>
      <c r="B58" s="860"/>
      <c r="C58" s="884"/>
      <c r="D58" s="887"/>
      <c r="E58" s="161">
        <v>0</v>
      </c>
      <c r="F58" s="293"/>
      <c r="G58" s="293"/>
      <c r="H58" s="281"/>
      <c r="I58" s="852"/>
      <c r="J58" s="828"/>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666"/>
    </row>
    <row r="59" spans="1:53" ht="17.25" customHeight="1" x14ac:dyDescent="0.2">
      <c r="A59" s="860" t="s">
        <v>925</v>
      </c>
      <c r="B59" s="860"/>
      <c r="C59" s="884"/>
      <c r="D59" s="887"/>
      <c r="E59" s="161">
        <f t="shared" ref="E59:E61" si="5">C59*D59</f>
        <v>0</v>
      </c>
      <c r="F59" s="293"/>
      <c r="G59" s="293"/>
      <c r="H59" s="281"/>
      <c r="I59" s="852"/>
      <c r="J59" s="828"/>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666"/>
    </row>
    <row r="60" spans="1:53" ht="17.25" customHeight="1" x14ac:dyDescent="0.2">
      <c r="A60" s="860" t="s">
        <v>926</v>
      </c>
      <c r="B60" s="860"/>
      <c r="C60" s="884"/>
      <c r="D60" s="887"/>
      <c r="E60" s="161">
        <f t="shared" si="5"/>
        <v>0</v>
      </c>
      <c r="F60" s="293"/>
      <c r="G60" s="293"/>
      <c r="H60" s="281"/>
      <c r="I60" s="852"/>
      <c r="J60" s="828"/>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666"/>
    </row>
    <row r="61" spans="1:53" ht="17.25" customHeight="1" x14ac:dyDescent="0.2">
      <c r="A61" s="886" t="s">
        <v>686</v>
      </c>
      <c r="B61" s="860"/>
      <c r="C61" s="884"/>
      <c r="D61" s="887"/>
      <c r="E61" s="161">
        <f t="shared" si="5"/>
        <v>0</v>
      </c>
      <c r="F61" s="293"/>
      <c r="G61" s="293"/>
      <c r="H61" s="281"/>
      <c r="I61" s="852"/>
      <c r="J61" s="828"/>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666"/>
    </row>
    <row r="62" spans="1:53" ht="10.5" customHeight="1" x14ac:dyDescent="0.2">
      <c r="A62" s="281"/>
      <c r="B62" s="281"/>
      <c r="C62" s="852"/>
      <c r="D62" s="853"/>
      <c r="E62" s="293"/>
      <c r="F62" s="293"/>
      <c r="G62" s="293"/>
      <c r="H62" s="281"/>
      <c r="I62" s="852"/>
      <c r="J62" s="828"/>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666"/>
    </row>
    <row r="63" spans="1:53" ht="18" customHeight="1" x14ac:dyDescent="0.2">
      <c r="A63" s="112" t="s">
        <v>1050</v>
      </c>
      <c r="B63" s="112"/>
      <c r="C63" s="112"/>
      <c r="D63" s="112"/>
      <c r="E63" s="888">
        <f>SUM(E58:E62)</f>
        <v>0</v>
      </c>
      <c r="F63" s="293"/>
      <c r="G63" s="293"/>
      <c r="H63" s="281"/>
      <c r="I63" s="852"/>
      <c r="J63" s="828"/>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666"/>
    </row>
    <row r="64" spans="1:53" ht="16.5" customHeight="1" thickBot="1" x14ac:dyDescent="0.25">
      <c r="A64" s="281"/>
      <c r="B64" s="281"/>
      <c r="C64" s="852"/>
      <c r="D64" s="853"/>
      <c r="E64" s="293"/>
      <c r="F64" s="293"/>
      <c r="G64" s="293"/>
      <c r="H64" s="281"/>
      <c r="I64" s="852"/>
      <c r="J64" s="828"/>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666"/>
    </row>
    <row r="65" spans="1:53" ht="18" customHeight="1" thickBot="1" x14ac:dyDescent="0.25">
      <c r="A65" s="891" t="s">
        <v>927</v>
      </c>
      <c r="B65" s="889"/>
      <c r="C65" s="889"/>
      <c r="D65" s="889"/>
      <c r="E65" s="890">
        <f>SUM(E63,E54,E43,E34,E26)</f>
        <v>0</v>
      </c>
      <c r="F65" s="293"/>
      <c r="G65" s="293"/>
      <c r="H65" s="281"/>
      <c r="I65" s="852"/>
      <c r="J65" s="828"/>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666"/>
    </row>
    <row r="66" spans="1:53" ht="18" customHeight="1" x14ac:dyDescent="0.2">
      <c r="A66" s="281"/>
      <c r="B66" s="281"/>
      <c r="C66" s="852"/>
      <c r="D66" s="853"/>
      <c r="E66" s="293"/>
      <c r="F66" s="293"/>
      <c r="G66" s="293"/>
      <c r="H66" s="281"/>
      <c r="I66" s="852"/>
      <c r="J66" s="828"/>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666"/>
    </row>
    <row r="67" spans="1:53" ht="18" customHeight="1" x14ac:dyDescent="0.2">
      <c r="A67" s="281" t="s">
        <v>929</v>
      </c>
      <c r="B67" s="281"/>
      <c r="C67" s="852"/>
      <c r="D67" s="853"/>
      <c r="E67" s="293"/>
      <c r="F67" s="293"/>
      <c r="G67" s="293"/>
      <c r="H67" s="281"/>
      <c r="I67" s="852"/>
      <c r="J67" s="828"/>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666"/>
    </row>
    <row r="68" spans="1:53" ht="18" customHeight="1" x14ac:dyDescent="0.2">
      <c r="A68" s="281"/>
      <c r="B68" s="281"/>
      <c r="C68" s="852"/>
      <c r="D68" s="853"/>
      <c r="E68" s="293"/>
      <c r="F68" s="293"/>
      <c r="G68" s="293"/>
      <c r="H68" s="281"/>
      <c r="I68" s="852"/>
      <c r="J68" s="828"/>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666"/>
    </row>
    <row r="69" spans="1:53" ht="21" customHeight="1" x14ac:dyDescent="0.2">
      <c r="A69" s="281"/>
      <c r="B69" s="281"/>
      <c r="C69" s="852"/>
      <c r="D69" s="853"/>
      <c r="E69" s="293"/>
      <c r="F69" s="293"/>
      <c r="G69" s="293"/>
      <c r="H69" s="281"/>
      <c r="I69" s="852"/>
      <c r="J69" s="828"/>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666"/>
    </row>
    <row r="70" spans="1:53" ht="18" customHeight="1" x14ac:dyDescent="0.2">
      <c r="A70" s="281"/>
      <c r="B70" s="281"/>
      <c r="C70" s="852"/>
      <c r="D70" s="853"/>
      <c r="E70" s="293"/>
      <c r="F70" s="293"/>
      <c r="G70" s="293"/>
      <c r="H70" s="281"/>
      <c r="I70" s="852"/>
      <c r="J70" s="828"/>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666"/>
    </row>
    <row r="71" spans="1:53" ht="18" customHeight="1" x14ac:dyDescent="0.2">
      <c r="A71" s="281"/>
      <c r="B71" s="281"/>
      <c r="C71" s="852"/>
      <c r="D71" s="853"/>
      <c r="E71" s="293"/>
      <c r="F71" s="293"/>
      <c r="G71" s="293"/>
      <c r="H71" s="281"/>
      <c r="I71" s="852"/>
      <c r="J71" s="828"/>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666"/>
    </row>
    <row r="72" spans="1:53" ht="15" customHeight="1" x14ac:dyDescent="0.2">
      <c r="A72" s="281"/>
      <c r="B72" s="281"/>
      <c r="C72" s="852"/>
      <c r="D72" s="853"/>
      <c r="E72" s="293"/>
      <c r="F72" s="293"/>
      <c r="G72" s="293"/>
      <c r="H72" s="281"/>
      <c r="I72" s="852"/>
      <c r="J72" s="828"/>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666"/>
    </row>
    <row r="73" spans="1:53" ht="15" customHeight="1" x14ac:dyDescent="0.2">
      <c r="A73" s="281"/>
      <c r="B73" s="281"/>
      <c r="C73" s="852"/>
      <c r="D73" s="853"/>
      <c r="E73" s="293"/>
      <c r="F73" s="293"/>
      <c r="G73" s="293"/>
      <c r="H73" s="281"/>
      <c r="I73" s="852"/>
      <c r="J73" s="828"/>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666"/>
    </row>
    <row r="74" spans="1:53" ht="15" customHeight="1" x14ac:dyDescent="0.2">
      <c r="A74" s="281"/>
      <c r="B74" s="281"/>
      <c r="C74" s="852"/>
      <c r="D74" s="853"/>
      <c r="E74" s="293"/>
      <c r="F74" s="293"/>
      <c r="G74" s="293"/>
      <c r="H74" s="281"/>
      <c r="I74" s="852"/>
      <c r="J74" s="828"/>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666"/>
    </row>
    <row r="75" spans="1:53" ht="15" customHeight="1" x14ac:dyDescent="0.2">
      <c r="A75" s="281"/>
      <c r="B75" s="281"/>
      <c r="C75" s="852"/>
      <c r="D75" s="853"/>
      <c r="E75" s="293"/>
      <c r="F75" s="293"/>
      <c r="G75" s="293"/>
      <c r="H75" s="281"/>
      <c r="I75" s="852"/>
      <c r="J75" s="828"/>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666"/>
    </row>
    <row r="76" spans="1:53" ht="15" customHeight="1" x14ac:dyDescent="0.2">
      <c r="A76" s="281"/>
      <c r="B76" s="281"/>
      <c r="C76" s="852"/>
      <c r="D76" s="853"/>
      <c r="E76" s="293"/>
      <c r="F76" s="293"/>
      <c r="G76" s="293"/>
      <c r="H76" s="281"/>
      <c r="I76" s="852"/>
      <c r="J76" s="828"/>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666"/>
    </row>
    <row r="77" spans="1:53" x14ac:dyDescent="0.2">
      <c r="A77" s="281"/>
      <c r="B77" s="281"/>
      <c r="C77" s="852"/>
      <c r="D77" s="853"/>
      <c r="E77" s="293"/>
      <c r="F77" s="293"/>
      <c r="G77" s="293"/>
      <c r="H77" s="281"/>
      <c r="I77" s="852"/>
      <c r="J77" s="828"/>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666"/>
    </row>
    <row r="78" spans="1:53" x14ac:dyDescent="0.2">
      <c r="A78" s="281"/>
      <c r="B78" s="281"/>
      <c r="C78" s="852"/>
      <c r="D78" s="853"/>
      <c r="E78" s="293"/>
      <c r="F78" s="293"/>
      <c r="G78" s="293"/>
      <c r="H78" s="281"/>
      <c r="I78" s="852"/>
      <c r="J78" s="828"/>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666"/>
    </row>
    <row r="79" spans="1:53" x14ac:dyDescent="0.2">
      <c r="A79" s="281"/>
      <c r="B79" s="281"/>
      <c r="C79" s="852"/>
      <c r="D79" s="853"/>
      <c r="E79" s="293"/>
      <c r="F79" s="293"/>
      <c r="G79" s="293"/>
      <c r="H79" s="281"/>
      <c r="I79" s="852"/>
      <c r="J79" s="828"/>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666"/>
    </row>
    <row r="80" spans="1:53" x14ac:dyDescent="0.2">
      <c r="A80" s="281"/>
      <c r="B80" s="281"/>
      <c r="C80" s="852"/>
      <c r="D80" s="853"/>
      <c r="E80" s="293"/>
      <c r="F80" s="293"/>
      <c r="G80" s="293"/>
      <c r="H80" s="281"/>
      <c r="I80" s="852"/>
      <c r="J80" s="828"/>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666"/>
    </row>
    <row r="81" spans="1:53" x14ac:dyDescent="0.2">
      <c r="A81" s="281"/>
      <c r="B81" s="281"/>
      <c r="C81" s="852"/>
      <c r="D81" s="853"/>
      <c r="E81" s="293"/>
      <c r="F81" s="293"/>
      <c r="G81" s="293"/>
      <c r="H81" s="281"/>
      <c r="I81" s="852"/>
      <c r="J81" s="828"/>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666"/>
    </row>
    <row r="82" spans="1:53" x14ac:dyDescent="0.2">
      <c r="A82" s="281"/>
      <c r="B82" s="281"/>
      <c r="C82" s="852"/>
      <c r="D82" s="853"/>
      <c r="E82" s="293"/>
      <c r="F82" s="293"/>
      <c r="G82" s="293"/>
      <c r="H82" s="281"/>
      <c r="I82" s="852"/>
      <c r="J82" s="828"/>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666"/>
    </row>
    <row r="83" spans="1:53" x14ac:dyDescent="0.2">
      <c r="A83" s="281"/>
      <c r="B83" s="281"/>
      <c r="C83" s="852"/>
      <c r="D83" s="853"/>
      <c r="E83" s="293"/>
      <c r="F83" s="293"/>
      <c r="G83" s="293"/>
      <c r="H83" s="281"/>
      <c r="I83" s="852"/>
      <c r="J83" s="828"/>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666"/>
    </row>
    <row r="84" spans="1:53" x14ac:dyDescent="0.2">
      <c r="A84" s="281"/>
      <c r="B84" s="281"/>
      <c r="C84" s="852"/>
      <c r="D84" s="853"/>
      <c r="E84" s="293"/>
      <c r="F84" s="293"/>
      <c r="G84" s="293"/>
      <c r="H84" s="281"/>
      <c r="I84" s="852"/>
      <c r="J84" s="828"/>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666"/>
    </row>
    <row r="85" spans="1:53" x14ac:dyDescent="0.2">
      <c r="A85" s="281"/>
      <c r="B85" s="281"/>
      <c r="C85" s="852"/>
      <c r="D85" s="853"/>
      <c r="E85" s="293"/>
      <c r="F85" s="293"/>
      <c r="G85" s="293"/>
      <c r="H85" s="281"/>
      <c r="I85" s="852"/>
      <c r="J85" s="828"/>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666"/>
    </row>
    <row r="86" spans="1:53" x14ac:dyDescent="0.2">
      <c r="A86" s="281"/>
      <c r="B86" s="281"/>
      <c r="C86" s="852"/>
      <c r="D86" s="853"/>
      <c r="E86" s="293"/>
      <c r="F86" s="293"/>
      <c r="G86" s="293"/>
      <c r="H86" s="281"/>
      <c r="I86" s="852"/>
      <c r="J86" s="828"/>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666"/>
    </row>
    <row r="87" spans="1:53" x14ac:dyDescent="0.2">
      <c r="A87" s="281"/>
      <c r="B87" s="281"/>
      <c r="C87" s="852"/>
      <c r="D87" s="853"/>
      <c r="E87" s="293"/>
      <c r="F87" s="293"/>
      <c r="G87" s="293"/>
      <c r="H87" s="281"/>
      <c r="I87" s="852"/>
      <c r="J87" s="828"/>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666"/>
    </row>
    <row r="88" spans="1:53" x14ac:dyDescent="0.2">
      <c r="A88" s="281"/>
      <c r="B88" s="281"/>
      <c r="C88" s="852"/>
      <c r="D88" s="853"/>
      <c r="E88" s="293"/>
      <c r="F88" s="293"/>
      <c r="G88" s="293"/>
      <c r="H88" s="281"/>
      <c r="I88" s="852"/>
      <c r="J88" s="828"/>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666"/>
    </row>
    <row r="89" spans="1:53" x14ac:dyDescent="0.2">
      <c r="A89" s="281"/>
      <c r="B89" s="281"/>
      <c r="C89" s="852"/>
      <c r="D89" s="853"/>
      <c r="E89" s="293"/>
      <c r="F89" s="293"/>
      <c r="G89" s="293"/>
      <c r="H89" s="281"/>
      <c r="I89" s="852"/>
      <c r="J89" s="828"/>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666"/>
    </row>
    <row r="90" spans="1:53" x14ac:dyDescent="0.2">
      <c r="A90" s="281"/>
      <c r="B90" s="281"/>
      <c r="C90" s="852"/>
      <c r="D90" s="853"/>
      <c r="E90" s="293"/>
      <c r="F90" s="293"/>
      <c r="G90" s="293"/>
      <c r="H90" s="281"/>
      <c r="I90" s="852"/>
      <c r="J90" s="828"/>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666"/>
    </row>
    <row r="91" spans="1:53" x14ac:dyDescent="0.2">
      <c r="A91" s="281"/>
      <c r="B91" s="281"/>
      <c r="C91" s="852"/>
      <c r="D91" s="853"/>
      <c r="E91" s="293"/>
      <c r="F91" s="293"/>
      <c r="G91" s="293"/>
      <c r="H91" s="281"/>
      <c r="I91" s="852"/>
      <c r="J91" s="828"/>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666"/>
    </row>
    <row r="92" spans="1:53" x14ac:dyDescent="0.2">
      <c r="A92" s="281"/>
      <c r="B92" s="281"/>
      <c r="C92" s="852"/>
      <c r="D92" s="853"/>
      <c r="E92" s="293"/>
      <c r="F92" s="293"/>
      <c r="G92" s="293"/>
      <c r="H92" s="281"/>
      <c r="I92" s="852"/>
      <c r="J92" s="828"/>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666"/>
    </row>
    <row r="93" spans="1:53" x14ac:dyDescent="0.2">
      <c r="A93" s="281"/>
      <c r="B93" s="281"/>
      <c r="C93" s="852"/>
      <c r="D93" s="853"/>
      <c r="E93" s="293"/>
      <c r="F93" s="293"/>
      <c r="G93" s="293"/>
      <c r="H93" s="281"/>
      <c r="I93" s="852"/>
      <c r="J93" s="828"/>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666"/>
    </row>
    <row r="94" spans="1:53" x14ac:dyDescent="0.2">
      <c r="A94" s="281"/>
      <c r="B94" s="281"/>
      <c r="C94" s="852"/>
      <c r="D94" s="853"/>
      <c r="E94" s="293"/>
      <c r="F94" s="293"/>
      <c r="G94" s="293"/>
      <c r="H94" s="281"/>
      <c r="I94" s="852"/>
      <c r="J94" s="828"/>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666"/>
    </row>
    <row r="95" spans="1:53" x14ac:dyDescent="0.2">
      <c r="A95" s="281"/>
      <c r="B95" s="281"/>
      <c r="C95" s="852"/>
      <c r="D95" s="853"/>
      <c r="E95" s="293"/>
      <c r="F95" s="293"/>
      <c r="G95" s="293"/>
      <c r="H95" s="281"/>
      <c r="I95" s="852"/>
      <c r="J95" s="828"/>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666"/>
    </row>
    <row r="96" spans="1:53" x14ac:dyDescent="0.2">
      <c r="A96" s="281"/>
      <c r="B96" s="281"/>
      <c r="C96" s="852"/>
      <c r="D96" s="853"/>
      <c r="E96" s="293"/>
      <c r="F96" s="293"/>
      <c r="G96" s="293"/>
      <c r="H96" s="281"/>
      <c r="I96" s="852"/>
      <c r="J96" s="828"/>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666"/>
    </row>
    <row r="97" spans="1:53" x14ac:dyDescent="0.2">
      <c r="A97" s="281"/>
      <c r="B97" s="281"/>
      <c r="C97" s="852"/>
      <c r="D97" s="853"/>
      <c r="E97" s="293"/>
      <c r="F97" s="293"/>
      <c r="G97" s="293"/>
      <c r="H97" s="281"/>
      <c r="I97" s="852"/>
      <c r="J97" s="828"/>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666"/>
    </row>
    <row r="98" spans="1:53" x14ac:dyDescent="0.2">
      <c r="A98" s="281"/>
      <c r="B98" s="281"/>
      <c r="C98" s="852"/>
      <c r="D98" s="853"/>
      <c r="E98" s="293"/>
      <c r="F98" s="293"/>
      <c r="G98" s="293"/>
      <c r="H98" s="281"/>
      <c r="I98" s="852"/>
      <c r="J98" s="828"/>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666"/>
    </row>
    <row r="99" spans="1:53" x14ac:dyDescent="0.2">
      <c r="A99" s="281"/>
      <c r="B99" s="281"/>
      <c r="C99" s="852"/>
      <c r="D99" s="853"/>
      <c r="E99" s="293"/>
      <c r="F99" s="293"/>
      <c r="G99" s="293"/>
      <c r="H99" s="281"/>
      <c r="I99" s="852"/>
      <c r="J99" s="828"/>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666"/>
    </row>
    <row r="100" spans="1:53" x14ac:dyDescent="0.2">
      <c r="A100" s="281"/>
      <c r="B100" s="281"/>
      <c r="C100" s="852"/>
      <c r="D100" s="853"/>
      <c r="E100" s="293"/>
      <c r="F100" s="293"/>
      <c r="G100" s="293"/>
      <c r="H100" s="281"/>
      <c r="I100" s="852"/>
      <c r="J100" s="828"/>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666"/>
    </row>
    <row r="101" spans="1:53" x14ac:dyDescent="0.2">
      <c r="A101" s="281"/>
      <c r="B101" s="281"/>
      <c r="C101" s="852"/>
      <c r="D101" s="853"/>
      <c r="E101" s="293"/>
      <c r="F101" s="293"/>
      <c r="G101" s="293"/>
      <c r="H101" s="281"/>
      <c r="I101" s="852"/>
      <c r="J101" s="828"/>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666"/>
    </row>
    <row r="102" spans="1:53" x14ac:dyDescent="0.2">
      <c r="A102" s="281"/>
      <c r="B102" s="281"/>
      <c r="C102" s="852"/>
      <c r="D102" s="853"/>
      <c r="E102" s="293"/>
      <c r="F102" s="293"/>
      <c r="G102" s="293"/>
      <c r="H102" s="281"/>
      <c r="I102" s="852"/>
      <c r="J102" s="828"/>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666"/>
    </row>
    <row r="103" spans="1:53" x14ac:dyDescent="0.2">
      <c r="A103" s="281"/>
      <c r="B103" s="281"/>
      <c r="C103" s="852"/>
      <c r="D103" s="853"/>
      <c r="E103" s="293"/>
      <c r="F103" s="293"/>
      <c r="G103" s="293"/>
      <c r="H103" s="281"/>
      <c r="I103" s="852"/>
      <c r="J103" s="828"/>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666"/>
    </row>
    <row r="104" spans="1:53" x14ac:dyDescent="0.2">
      <c r="A104" s="281"/>
      <c r="B104" s="281"/>
      <c r="C104" s="852"/>
      <c r="D104" s="853"/>
      <c r="E104" s="293"/>
      <c r="F104" s="293"/>
      <c r="G104" s="293"/>
      <c r="H104" s="281"/>
      <c r="I104" s="852"/>
      <c r="J104" s="828"/>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666"/>
    </row>
    <row r="105" spans="1:53" x14ac:dyDescent="0.2">
      <c r="A105" s="281"/>
      <c r="B105" s="281"/>
      <c r="C105" s="852"/>
      <c r="D105" s="853"/>
      <c r="E105" s="293"/>
      <c r="F105" s="293"/>
      <c r="G105" s="293"/>
      <c r="H105" s="281"/>
      <c r="I105" s="852"/>
      <c r="J105" s="828"/>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666"/>
    </row>
    <row r="106" spans="1:53" x14ac:dyDescent="0.2">
      <c r="A106" s="281"/>
      <c r="B106" s="281"/>
      <c r="C106" s="852"/>
      <c r="D106" s="853"/>
      <c r="E106" s="293"/>
      <c r="F106" s="293"/>
      <c r="G106" s="293"/>
      <c r="H106" s="281"/>
      <c r="I106" s="852"/>
      <c r="J106" s="828"/>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666"/>
    </row>
    <row r="107" spans="1:53" x14ac:dyDescent="0.2">
      <c r="A107" s="281"/>
      <c r="B107" s="281"/>
      <c r="C107" s="852"/>
      <c r="D107" s="853"/>
      <c r="E107" s="293"/>
      <c r="F107" s="293"/>
      <c r="G107" s="293"/>
      <c r="H107" s="281"/>
      <c r="I107" s="852"/>
      <c r="J107" s="828"/>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666"/>
    </row>
    <row r="108" spans="1:53" x14ac:dyDescent="0.2">
      <c r="A108" s="281"/>
      <c r="B108" s="281"/>
      <c r="C108" s="852"/>
      <c r="D108" s="853"/>
      <c r="E108" s="293"/>
      <c r="F108" s="293"/>
      <c r="G108" s="293"/>
      <c r="H108" s="281"/>
      <c r="I108" s="852"/>
      <c r="J108" s="828"/>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666"/>
    </row>
    <row r="109" spans="1:53" x14ac:dyDescent="0.2">
      <c r="A109" s="281"/>
      <c r="B109" s="281"/>
      <c r="C109" s="852"/>
      <c r="D109" s="853"/>
      <c r="E109" s="293"/>
      <c r="F109" s="293"/>
      <c r="G109" s="293"/>
      <c r="H109" s="281"/>
      <c r="I109" s="852"/>
      <c r="J109" s="828"/>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666"/>
    </row>
    <row r="110" spans="1:53" x14ac:dyDescent="0.2">
      <c r="A110" s="281"/>
      <c r="B110" s="281"/>
      <c r="C110" s="852"/>
      <c r="D110" s="853"/>
      <c r="E110" s="293"/>
      <c r="F110" s="293"/>
      <c r="G110" s="293"/>
      <c r="H110" s="281"/>
      <c r="I110" s="852"/>
      <c r="J110" s="828"/>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666"/>
    </row>
    <row r="111" spans="1:53" x14ac:dyDescent="0.2">
      <c r="A111" s="281"/>
      <c r="B111" s="281"/>
      <c r="C111" s="852"/>
      <c r="D111" s="853"/>
      <c r="E111" s="293"/>
      <c r="F111" s="293"/>
      <c r="G111" s="293"/>
      <c r="H111" s="281"/>
      <c r="I111" s="852"/>
      <c r="J111" s="828"/>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666"/>
    </row>
    <row r="112" spans="1:53" x14ac:dyDescent="0.2">
      <c r="A112" s="281"/>
      <c r="B112" s="281"/>
      <c r="C112" s="852"/>
      <c r="D112" s="853"/>
      <c r="E112" s="293"/>
      <c r="F112" s="293"/>
      <c r="G112" s="293"/>
      <c r="H112" s="281"/>
      <c r="I112" s="852"/>
      <c r="J112" s="828"/>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666"/>
    </row>
    <row r="113" spans="1:53" x14ac:dyDescent="0.2">
      <c r="A113" s="281"/>
      <c r="B113" s="281"/>
      <c r="C113" s="852"/>
      <c r="D113" s="853"/>
      <c r="E113" s="293"/>
      <c r="F113" s="293"/>
      <c r="G113" s="293"/>
      <c r="H113" s="281"/>
      <c r="I113" s="852"/>
      <c r="J113" s="828"/>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666"/>
    </row>
    <row r="114" spans="1:53" x14ac:dyDescent="0.2">
      <c r="A114" s="281"/>
      <c r="B114" s="281"/>
      <c r="C114" s="852"/>
      <c r="D114" s="853"/>
      <c r="E114" s="293"/>
      <c r="F114" s="293"/>
      <c r="G114" s="293"/>
      <c r="H114" s="281"/>
      <c r="I114" s="852"/>
      <c r="J114" s="828"/>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666"/>
    </row>
    <row r="115" spans="1:53" x14ac:dyDescent="0.2">
      <c r="A115" s="281"/>
      <c r="B115" s="281"/>
      <c r="C115" s="852"/>
      <c r="D115" s="853"/>
      <c r="E115" s="293"/>
      <c r="F115" s="293"/>
      <c r="G115" s="293"/>
      <c r="H115" s="281"/>
      <c r="I115" s="852"/>
      <c r="J115" s="828"/>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666"/>
    </row>
    <row r="116" spans="1:53" x14ac:dyDescent="0.2">
      <c r="A116" s="281"/>
      <c r="B116" s="281"/>
      <c r="C116" s="852"/>
      <c r="D116" s="853"/>
      <c r="E116" s="293"/>
      <c r="F116" s="293"/>
      <c r="G116" s="293"/>
      <c r="H116" s="281"/>
      <c r="I116" s="852"/>
      <c r="J116" s="828"/>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666"/>
    </row>
    <row r="117" spans="1:53" x14ac:dyDescent="0.2">
      <c r="A117" s="281"/>
      <c r="B117" s="281"/>
      <c r="C117" s="852"/>
      <c r="D117" s="853"/>
      <c r="E117" s="293"/>
      <c r="F117" s="293"/>
      <c r="G117" s="293"/>
      <c r="H117" s="281"/>
      <c r="I117" s="852"/>
      <c r="J117" s="828"/>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666"/>
    </row>
    <row r="118" spans="1:53" x14ac:dyDescent="0.2">
      <c r="A118" s="281"/>
      <c r="B118" s="281"/>
      <c r="C118" s="852"/>
      <c r="D118" s="853"/>
      <c r="E118" s="293"/>
      <c r="F118" s="293"/>
      <c r="G118" s="293"/>
      <c r="H118" s="281"/>
      <c r="I118" s="852"/>
      <c r="J118" s="828"/>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666"/>
    </row>
    <row r="119" spans="1:53" x14ac:dyDescent="0.2">
      <c r="A119" s="281"/>
      <c r="B119" s="281"/>
      <c r="C119" s="852"/>
      <c r="D119" s="853"/>
      <c r="E119" s="293"/>
      <c r="F119" s="293"/>
      <c r="G119" s="293"/>
      <c r="H119" s="281"/>
      <c r="I119" s="852"/>
      <c r="J119" s="828"/>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666"/>
    </row>
    <row r="120" spans="1:53" x14ac:dyDescent="0.2">
      <c r="A120" s="281"/>
      <c r="B120" s="281"/>
      <c r="C120" s="852"/>
      <c r="D120" s="853"/>
      <c r="E120" s="293"/>
      <c r="F120" s="293"/>
      <c r="G120" s="293"/>
      <c r="H120" s="281"/>
      <c r="I120" s="852"/>
      <c r="J120" s="828"/>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666"/>
    </row>
    <row r="121" spans="1:53" x14ac:dyDescent="0.2">
      <c r="A121" s="281"/>
      <c r="B121" s="281"/>
      <c r="C121" s="852"/>
      <c r="D121" s="853"/>
      <c r="E121" s="293"/>
      <c r="F121" s="293"/>
      <c r="G121" s="293"/>
      <c r="H121" s="281"/>
      <c r="I121" s="852"/>
      <c r="J121" s="828"/>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666"/>
    </row>
    <row r="122" spans="1:53" x14ac:dyDescent="0.2">
      <c r="A122" s="281"/>
      <c r="B122" s="281"/>
      <c r="C122" s="852"/>
      <c r="D122" s="853"/>
      <c r="E122" s="293"/>
      <c r="F122" s="293"/>
      <c r="G122" s="293"/>
      <c r="H122" s="281"/>
      <c r="I122" s="852"/>
      <c r="J122" s="828"/>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666"/>
    </row>
    <row r="123" spans="1:53" x14ac:dyDescent="0.2">
      <c r="A123" s="281"/>
      <c r="B123" s="281"/>
      <c r="C123" s="852"/>
      <c r="D123" s="853"/>
      <c r="E123" s="293"/>
      <c r="F123" s="293"/>
      <c r="G123" s="293"/>
      <c r="H123" s="281"/>
      <c r="I123" s="852"/>
      <c r="J123" s="828"/>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666"/>
    </row>
    <row r="124" spans="1:53" x14ac:dyDescent="0.2">
      <c r="A124" s="281"/>
      <c r="B124" s="281"/>
      <c r="C124" s="852"/>
      <c r="D124" s="853"/>
      <c r="E124" s="293"/>
      <c r="F124" s="293"/>
      <c r="G124" s="293"/>
      <c r="H124" s="281"/>
      <c r="I124" s="852"/>
      <c r="J124" s="828"/>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666"/>
    </row>
    <row r="125" spans="1:53" x14ac:dyDescent="0.2">
      <c r="A125" s="281"/>
      <c r="B125" s="281"/>
      <c r="C125" s="852"/>
      <c r="D125" s="853"/>
      <c r="E125" s="293"/>
      <c r="F125" s="293"/>
      <c r="G125" s="293"/>
      <c r="H125" s="281"/>
      <c r="I125" s="852"/>
      <c r="J125" s="828"/>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666"/>
    </row>
    <row r="126" spans="1:53" x14ac:dyDescent="0.2">
      <c r="A126" s="281"/>
      <c r="B126" s="281"/>
      <c r="C126" s="852"/>
      <c r="D126" s="853"/>
      <c r="E126" s="293"/>
      <c r="F126" s="293"/>
      <c r="G126" s="293"/>
      <c r="H126" s="281"/>
      <c r="I126" s="852"/>
      <c r="J126" s="828"/>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666"/>
    </row>
    <row r="127" spans="1:53" x14ac:dyDescent="0.2">
      <c r="A127" s="281"/>
      <c r="B127" s="281"/>
      <c r="C127" s="852"/>
      <c r="D127" s="853"/>
      <c r="E127" s="293"/>
      <c r="F127" s="293"/>
      <c r="G127" s="293"/>
      <c r="H127" s="281"/>
      <c r="I127" s="852"/>
      <c r="J127" s="828"/>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666"/>
    </row>
    <row r="128" spans="1:53" x14ac:dyDescent="0.2">
      <c r="A128" s="281"/>
      <c r="B128" s="281"/>
      <c r="C128" s="852"/>
      <c r="D128" s="853"/>
      <c r="E128" s="293"/>
      <c r="F128" s="293"/>
      <c r="G128" s="293"/>
      <c r="H128" s="281"/>
      <c r="I128" s="852"/>
      <c r="J128" s="828"/>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666"/>
    </row>
    <row r="129" spans="1:53" x14ac:dyDescent="0.2">
      <c r="A129" s="281"/>
      <c r="B129" s="281"/>
      <c r="C129" s="852"/>
      <c r="D129" s="853"/>
      <c r="E129" s="293"/>
      <c r="F129" s="293"/>
      <c r="G129" s="293"/>
      <c r="H129" s="281"/>
      <c r="I129" s="852"/>
      <c r="J129" s="828"/>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666"/>
    </row>
    <row r="130" spans="1:53" x14ac:dyDescent="0.2">
      <c r="A130" s="281"/>
      <c r="B130" s="281"/>
      <c r="C130" s="852"/>
      <c r="D130" s="853"/>
      <c r="E130" s="293"/>
      <c r="F130" s="293"/>
      <c r="G130" s="293"/>
      <c r="H130" s="281"/>
      <c r="I130" s="852"/>
      <c r="J130" s="828"/>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666"/>
    </row>
    <row r="131" spans="1:53" x14ac:dyDescent="0.2">
      <c r="A131" s="281"/>
      <c r="B131" s="281"/>
      <c r="C131" s="852"/>
      <c r="D131" s="853"/>
      <c r="E131" s="293"/>
      <c r="F131" s="293"/>
      <c r="G131" s="293"/>
      <c r="H131" s="281"/>
      <c r="I131" s="852"/>
      <c r="J131" s="828"/>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c r="AL131" s="281"/>
      <c r="AM131" s="281"/>
      <c r="AN131" s="281"/>
      <c r="AO131" s="281"/>
      <c r="AP131" s="281"/>
      <c r="AQ131" s="281"/>
      <c r="AR131" s="281"/>
      <c r="AS131" s="281"/>
      <c r="AT131" s="281"/>
      <c r="AU131" s="281"/>
      <c r="AV131" s="281"/>
      <c r="AW131" s="281"/>
      <c r="AX131" s="281"/>
      <c r="AY131" s="281"/>
      <c r="AZ131" s="281"/>
      <c r="BA131" s="666"/>
    </row>
    <row r="132" spans="1:53" x14ac:dyDescent="0.2">
      <c r="A132" s="281"/>
      <c r="B132" s="281"/>
      <c r="C132" s="852"/>
      <c r="D132" s="853"/>
      <c r="E132" s="293"/>
      <c r="F132" s="293"/>
      <c r="G132" s="293"/>
      <c r="H132" s="281"/>
      <c r="I132" s="852"/>
      <c r="J132" s="828"/>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666"/>
    </row>
    <row r="133" spans="1:53" x14ac:dyDescent="0.2">
      <c r="A133" s="281"/>
      <c r="B133" s="281"/>
      <c r="C133" s="852"/>
      <c r="D133" s="853"/>
      <c r="E133" s="293"/>
      <c r="F133" s="293"/>
      <c r="G133" s="293"/>
      <c r="H133" s="281"/>
      <c r="I133" s="852"/>
      <c r="J133" s="828"/>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666"/>
    </row>
    <row r="134" spans="1:53" x14ac:dyDescent="0.2">
      <c r="A134" s="281"/>
      <c r="B134" s="281"/>
      <c r="C134" s="852"/>
      <c r="D134" s="853"/>
      <c r="E134" s="293"/>
      <c r="F134" s="293"/>
      <c r="G134" s="293"/>
      <c r="H134" s="281"/>
      <c r="I134" s="852"/>
      <c r="J134" s="828"/>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666"/>
    </row>
    <row r="135" spans="1:53" x14ac:dyDescent="0.2">
      <c r="A135" s="281"/>
      <c r="B135" s="281"/>
      <c r="C135" s="852"/>
      <c r="D135" s="853"/>
      <c r="E135" s="293"/>
      <c r="F135" s="293"/>
      <c r="G135" s="293"/>
      <c r="H135" s="281"/>
      <c r="I135" s="852"/>
      <c r="J135" s="828"/>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c r="AW135" s="281"/>
      <c r="AX135" s="281"/>
      <c r="AY135" s="281"/>
      <c r="AZ135" s="281"/>
      <c r="BA135" s="666"/>
    </row>
    <row r="136" spans="1:53" x14ac:dyDescent="0.2">
      <c r="A136" s="281"/>
      <c r="B136" s="281"/>
      <c r="C136" s="852"/>
      <c r="D136" s="853"/>
      <c r="E136" s="293"/>
      <c r="F136" s="293"/>
      <c r="G136" s="293"/>
      <c r="H136" s="281"/>
      <c r="I136" s="852"/>
      <c r="J136" s="828"/>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c r="AW136" s="281"/>
      <c r="AX136" s="281"/>
      <c r="AY136" s="281"/>
      <c r="AZ136" s="281"/>
      <c r="BA136" s="666"/>
    </row>
    <row r="137" spans="1:53" x14ac:dyDescent="0.2">
      <c r="A137" s="281"/>
      <c r="B137" s="281"/>
      <c r="C137" s="852"/>
      <c r="D137" s="853"/>
      <c r="E137" s="293"/>
      <c r="F137" s="293"/>
      <c r="G137" s="293"/>
      <c r="H137" s="281"/>
      <c r="I137" s="852"/>
      <c r="J137" s="828"/>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c r="AL137" s="281"/>
      <c r="AM137" s="281"/>
      <c r="AN137" s="281"/>
      <c r="AO137" s="281"/>
      <c r="AP137" s="281"/>
      <c r="AQ137" s="281"/>
      <c r="AR137" s="281"/>
      <c r="AS137" s="281"/>
      <c r="AT137" s="281"/>
      <c r="AU137" s="281"/>
      <c r="AV137" s="281"/>
      <c r="AW137" s="281"/>
      <c r="AX137" s="281"/>
      <c r="AY137" s="281"/>
      <c r="AZ137" s="281"/>
      <c r="BA137" s="666"/>
    </row>
    <row r="138" spans="1:53" x14ac:dyDescent="0.2">
      <c r="A138" s="281"/>
      <c r="B138" s="281"/>
      <c r="C138" s="852"/>
      <c r="D138" s="853"/>
      <c r="E138" s="293"/>
      <c r="F138" s="293"/>
      <c r="G138" s="293"/>
      <c r="H138" s="281"/>
      <c r="I138" s="852"/>
      <c r="J138" s="828"/>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c r="AW138" s="281"/>
      <c r="AX138" s="281"/>
      <c r="AY138" s="281"/>
      <c r="AZ138" s="281"/>
      <c r="BA138" s="666"/>
    </row>
    <row r="139" spans="1:53" x14ac:dyDescent="0.2">
      <c r="A139" s="281"/>
      <c r="B139" s="281"/>
      <c r="C139" s="852"/>
      <c r="D139" s="853"/>
      <c r="E139" s="293"/>
      <c r="F139" s="293"/>
      <c r="G139" s="293"/>
      <c r="H139" s="281"/>
      <c r="I139" s="852"/>
      <c r="J139" s="828"/>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c r="AL139" s="281"/>
      <c r="AM139" s="281"/>
      <c r="AN139" s="281"/>
      <c r="AO139" s="281"/>
      <c r="AP139" s="281"/>
      <c r="AQ139" s="281"/>
      <c r="AR139" s="281"/>
      <c r="AS139" s="281"/>
      <c r="AT139" s="281"/>
      <c r="AU139" s="281"/>
      <c r="AV139" s="281"/>
      <c r="AW139" s="281"/>
      <c r="AX139" s="281"/>
      <c r="AY139" s="281"/>
      <c r="AZ139" s="281"/>
      <c r="BA139" s="666"/>
    </row>
    <row r="140" spans="1:53" x14ac:dyDescent="0.2">
      <c r="A140" s="281"/>
      <c r="B140" s="281"/>
      <c r="C140" s="852"/>
      <c r="D140" s="853"/>
      <c r="E140" s="293"/>
      <c r="F140" s="293"/>
      <c r="G140" s="293"/>
      <c r="H140" s="281"/>
      <c r="I140" s="852"/>
      <c r="J140" s="828"/>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c r="AL140" s="281"/>
      <c r="AM140" s="281"/>
      <c r="AN140" s="281"/>
      <c r="AO140" s="281"/>
      <c r="AP140" s="281"/>
      <c r="AQ140" s="281"/>
      <c r="AR140" s="281"/>
      <c r="AS140" s="281"/>
      <c r="AT140" s="281"/>
      <c r="AU140" s="281"/>
      <c r="AV140" s="281"/>
      <c r="AW140" s="281"/>
      <c r="AX140" s="281"/>
      <c r="AY140" s="281"/>
      <c r="AZ140" s="281"/>
      <c r="BA140" s="666"/>
    </row>
    <row r="141" spans="1:53" x14ac:dyDescent="0.2">
      <c r="A141" s="281"/>
      <c r="B141" s="281"/>
      <c r="C141" s="852"/>
      <c r="D141" s="853"/>
      <c r="E141" s="293"/>
      <c r="F141" s="293"/>
      <c r="G141" s="293"/>
      <c r="H141" s="281"/>
      <c r="I141" s="852"/>
      <c r="J141" s="828"/>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1"/>
      <c r="AL141" s="281"/>
      <c r="AM141" s="281"/>
      <c r="AN141" s="281"/>
      <c r="AO141" s="281"/>
      <c r="AP141" s="281"/>
      <c r="AQ141" s="281"/>
      <c r="AR141" s="281"/>
      <c r="AS141" s="281"/>
      <c r="AT141" s="281"/>
      <c r="AU141" s="281"/>
      <c r="AV141" s="281"/>
      <c r="AW141" s="281"/>
      <c r="AX141" s="281"/>
      <c r="AY141" s="281"/>
      <c r="AZ141" s="281"/>
      <c r="BA141" s="666"/>
    </row>
    <row r="142" spans="1:53" x14ac:dyDescent="0.2">
      <c r="A142" s="281"/>
      <c r="B142" s="281"/>
      <c r="C142" s="852"/>
      <c r="D142" s="853"/>
      <c r="E142" s="293"/>
      <c r="F142" s="293"/>
      <c r="G142" s="293"/>
      <c r="H142" s="281"/>
      <c r="I142" s="852"/>
      <c r="J142" s="828"/>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c r="AW142" s="281"/>
      <c r="AX142" s="281"/>
      <c r="AY142" s="281"/>
      <c r="AZ142" s="281"/>
      <c r="BA142" s="666"/>
    </row>
    <row r="143" spans="1:53" x14ac:dyDescent="0.2">
      <c r="A143" s="281"/>
      <c r="B143" s="281"/>
      <c r="C143" s="852"/>
      <c r="D143" s="853"/>
      <c r="E143" s="293"/>
      <c r="F143" s="293"/>
      <c r="G143" s="293"/>
      <c r="H143" s="281"/>
      <c r="I143" s="852"/>
      <c r="J143" s="828"/>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c r="AL143" s="281"/>
      <c r="AM143" s="281"/>
      <c r="AN143" s="281"/>
      <c r="AO143" s="281"/>
      <c r="AP143" s="281"/>
      <c r="AQ143" s="281"/>
      <c r="AR143" s="281"/>
      <c r="AS143" s="281"/>
      <c r="AT143" s="281"/>
      <c r="AU143" s="281"/>
      <c r="AV143" s="281"/>
      <c r="AW143" s="281"/>
      <c r="AX143" s="281"/>
      <c r="AY143" s="281"/>
      <c r="AZ143" s="281"/>
      <c r="BA143" s="666"/>
    </row>
    <row r="144" spans="1:53" x14ac:dyDescent="0.2">
      <c r="A144" s="281"/>
      <c r="B144" s="281"/>
      <c r="C144" s="852"/>
      <c r="D144" s="853"/>
      <c r="E144" s="293"/>
      <c r="F144" s="293"/>
      <c r="G144" s="293"/>
      <c r="H144" s="281"/>
      <c r="I144" s="852"/>
      <c r="J144" s="828"/>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666"/>
    </row>
    <row r="145" spans="1:53" x14ac:dyDescent="0.2">
      <c r="A145" s="281"/>
      <c r="B145" s="281"/>
      <c r="C145" s="852"/>
      <c r="D145" s="853"/>
      <c r="E145" s="293"/>
      <c r="F145" s="293"/>
      <c r="G145" s="293"/>
      <c r="H145" s="281"/>
      <c r="I145" s="852"/>
      <c r="J145" s="828"/>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666"/>
    </row>
    <row r="146" spans="1:53" x14ac:dyDescent="0.2">
      <c r="A146" s="281"/>
      <c r="B146" s="281"/>
      <c r="C146" s="852"/>
      <c r="D146" s="853"/>
      <c r="E146" s="293"/>
      <c r="F146" s="293"/>
      <c r="G146" s="293"/>
      <c r="H146" s="281"/>
      <c r="I146" s="852"/>
      <c r="J146" s="828"/>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1"/>
      <c r="AL146" s="281"/>
      <c r="AM146" s="281"/>
      <c r="AN146" s="281"/>
      <c r="AO146" s="281"/>
      <c r="AP146" s="281"/>
      <c r="AQ146" s="281"/>
      <c r="AR146" s="281"/>
      <c r="AS146" s="281"/>
      <c r="AT146" s="281"/>
      <c r="AU146" s="281"/>
      <c r="AV146" s="281"/>
      <c r="AW146" s="281"/>
      <c r="AX146" s="281"/>
      <c r="AY146" s="281"/>
      <c r="AZ146" s="281"/>
      <c r="BA146" s="666"/>
    </row>
    <row r="147" spans="1:53" x14ac:dyDescent="0.2">
      <c r="A147" s="281"/>
      <c r="B147" s="281"/>
      <c r="C147" s="852"/>
      <c r="D147" s="853"/>
      <c r="E147" s="293"/>
      <c r="F147" s="293"/>
      <c r="G147" s="293"/>
      <c r="H147" s="281"/>
      <c r="I147" s="852"/>
      <c r="J147" s="828"/>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1"/>
      <c r="AR147" s="281"/>
      <c r="AS147" s="281"/>
      <c r="AT147" s="281"/>
      <c r="AU147" s="281"/>
      <c r="AV147" s="281"/>
      <c r="AW147" s="281"/>
      <c r="AX147" s="281"/>
      <c r="AY147" s="281"/>
      <c r="AZ147" s="281"/>
      <c r="BA147" s="666"/>
    </row>
    <row r="148" spans="1:53" x14ac:dyDescent="0.2">
      <c r="A148" s="281"/>
      <c r="B148" s="281"/>
      <c r="C148" s="852"/>
      <c r="D148" s="853"/>
      <c r="E148" s="293"/>
      <c r="F148" s="293"/>
      <c r="G148" s="293"/>
      <c r="H148" s="281"/>
      <c r="I148" s="852"/>
      <c r="J148" s="828"/>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c r="AW148" s="281"/>
      <c r="AX148" s="281"/>
      <c r="AY148" s="281"/>
      <c r="AZ148" s="281"/>
      <c r="BA148" s="666"/>
    </row>
    <row r="149" spans="1:53" x14ac:dyDescent="0.2">
      <c r="A149" s="281"/>
      <c r="B149" s="281"/>
      <c r="C149" s="852"/>
      <c r="D149" s="853"/>
      <c r="E149" s="293"/>
      <c r="F149" s="293"/>
      <c r="G149" s="293"/>
      <c r="H149" s="281"/>
      <c r="I149" s="852"/>
      <c r="J149" s="828"/>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1"/>
      <c r="AL149" s="281"/>
      <c r="AM149" s="281"/>
      <c r="AN149" s="281"/>
      <c r="AO149" s="281"/>
      <c r="AP149" s="281"/>
      <c r="AQ149" s="281"/>
      <c r="AR149" s="281"/>
      <c r="AS149" s="281"/>
      <c r="AT149" s="281"/>
      <c r="AU149" s="281"/>
      <c r="AV149" s="281"/>
      <c r="AW149" s="281"/>
      <c r="AX149" s="281"/>
      <c r="AY149" s="281"/>
      <c r="AZ149" s="281"/>
      <c r="BA149" s="666"/>
    </row>
    <row r="150" spans="1:53" x14ac:dyDescent="0.2">
      <c r="A150" s="281"/>
      <c r="B150" s="281"/>
      <c r="C150" s="852"/>
      <c r="D150" s="853"/>
      <c r="E150" s="293"/>
      <c r="F150" s="293"/>
      <c r="G150" s="293"/>
      <c r="H150" s="281"/>
      <c r="I150" s="852"/>
      <c r="J150" s="828"/>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1"/>
      <c r="AL150" s="281"/>
      <c r="AM150" s="281"/>
      <c r="AN150" s="281"/>
      <c r="AO150" s="281"/>
      <c r="AP150" s="281"/>
      <c r="AQ150" s="281"/>
      <c r="AR150" s="281"/>
      <c r="AS150" s="281"/>
      <c r="AT150" s="281"/>
      <c r="AU150" s="281"/>
      <c r="AV150" s="281"/>
      <c r="AW150" s="281"/>
      <c r="AX150" s="281"/>
      <c r="AY150" s="281"/>
      <c r="AZ150" s="281"/>
      <c r="BA150" s="666"/>
    </row>
    <row r="151" spans="1:53" x14ac:dyDescent="0.2">
      <c r="A151" s="281"/>
      <c r="B151" s="281"/>
      <c r="C151" s="852"/>
      <c r="D151" s="853"/>
      <c r="E151" s="293"/>
      <c r="F151" s="293"/>
      <c r="G151" s="293"/>
      <c r="H151" s="281"/>
      <c r="I151" s="852"/>
      <c r="J151" s="828"/>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c r="AW151" s="281"/>
      <c r="AX151" s="281"/>
      <c r="AY151" s="281"/>
      <c r="AZ151" s="281"/>
      <c r="BA151" s="666"/>
    </row>
    <row r="152" spans="1:53" x14ac:dyDescent="0.2">
      <c r="A152" s="281"/>
      <c r="B152" s="281"/>
      <c r="C152" s="852"/>
      <c r="D152" s="853"/>
      <c r="E152" s="293"/>
      <c r="F152" s="293"/>
      <c r="G152" s="293"/>
      <c r="H152" s="281"/>
      <c r="I152" s="852"/>
      <c r="J152" s="828"/>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666"/>
    </row>
    <row r="153" spans="1:53" x14ac:dyDescent="0.2">
      <c r="A153" s="281"/>
      <c r="B153" s="281"/>
      <c r="C153" s="852"/>
      <c r="D153" s="853"/>
      <c r="E153" s="293"/>
      <c r="F153" s="293"/>
      <c r="G153" s="293"/>
      <c r="H153" s="281"/>
      <c r="I153" s="852"/>
      <c r="J153" s="828"/>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1"/>
      <c r="AL153" s="281"/>
      <c r="AM153" s="281"/>
      <c r="AN153" s="281"/>
      <c r="AO153" s="281"/>
      <c r="AP153" s="281"/>
      <c r="AQ153" s="281"/>
      <c r="AR153" s="281"/>
      <c r="AS153" s="281"/>
      <c r="AT153" s="281"/>
      <c r="AU153" s="281"/>
      <c r="AV153" s="281"/>
      <c r="AW153" s="281"/>
      <c r="AX153" s="281"/>
      <c r="AY153" s="281"/>
      <c r="AZ153" s="281"/>
      <c r="BA153" s="666"/>
    </row>
    <row r="154" spans="1:53" x14ac:dyDescent="0.2">
      <c r="A154" s="281"/>
      <c r="B154" s="281"/>
      <c r="C154" s="852"/>
      <c r="D154" s="853"/>
      <c r="E154" s="293"/>
      <c r="F154" s="293"/>
      <c r="G154" s="293"/>
      <c r="H154" s="281"/>
      <c r="I154" s="852"/>
      <c r="J154" s="828"/>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1"/>
      <c r="AN154" s="281"/>
      <c r="AO154" s="281"/>
      <c r="AP154" s="281"/>
      <c r="AQ154" s="281"/>
      <c r="AR154" s="281"/>
      <c r="AS154" s="281"/>
      <c r="AT154" s="281"/>
      <c r="AU154" s="281"/>
      <c r="AV154" s="281"/>
      <c r="AW154" s="281"/>
      <c r="AX154" s="281"/>
      <c r="AY154" s="281"/>
      <c r="AZ154" s="281"/>
      <c r="BA154" s="666"/>
    </row>
    <row r="155" spans="1:53" x14ac:dyDescent="0.2">
      <c r="A155" s="281"/>
      <c r="B155" s="281"/>
      <c r="C155" s="852"/>
      <c r="D155" s="853"/>
      <c r="E155" s="293"/>
      <c r="F155" s="293"/>
      <c r="G155" s="293"/>
      <c r="H155" s="281"/>
      <c r="I155" s="852"/>
      <c r="J155" s="828"/>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1"/>
      <c r="AN155" s="281"/>
      <c r="AO155" s="281"/>
      <c r="AP155" s="281"/>
      <c r="AQ155" s="281"/>
      <c r="AR155" s="281"/>
      <c r="AS155" s="281"/>
      <c r="AT155" s="281"/>
      <c r="AU155" s="281"/>
      <c r="AV155" s="281"/>
      <c r="AW155" s="281"/>
      <c r="AX155" s="281"/>
      <c r="AY155" s="281"/>
      <c r="AZ155" s="281"/>
      <c r="BA155" s="666"/>
    </row>
    <row r="156" spans="1:53" x14ac:dyDescent="0.2">
      <c r="A156" s="281"/>
      <c r="B156" s="281"/>
      <c r="C156" s="852"/>
      <c r="D156" s="853"/>
      <c r="E156" s="293"/>
      <c r="F156" s="293"/>
      <c r="G156" s="293"/>
      <c r="H156" s="281"/>
      <c r="I156" s="852"/>
      <c r="J156" s="828"/>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666"/>
    </row>
    <row r="157" spans="1:53" x14ac:dyDescent="0.2">
      <c r="H157" s="281"/>
      <c r="I157" s="852"/>
      <c r="J157" s="828"/>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666"/>
    </row>
    <row r="158" spans="1:53" x14ac:dyDescent="0.2">
      <c r="H158" s="281"/>
      <c r="I158" s="852"/>
      <c r="J158" s="828"/>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666"/>
    </row>
    <row r="159" spans="1:53" x14ac:dyDescent="0.2">
      <c r="J159" s="828"/>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666"/>
    </row>
    <row r="160" spans="1:53" x14ac:dyDescent="0.2">
      <c r="J160" s="828"/>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666"/>
    </row>
  </sheetData>
  <dataValidations count="2">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s>
  <printOptions horizontalCentered="1"/>
  <pageMargins left="1.1811023622047245" right="0.59055118110236227" top="1.1811023622047245" bottom="0.98425196850393704" header="0.31496062992125984" footer="0.31496062992125984"/>
  <pageSetup paperSize="9" scale="84" fitToHeight="0" orientation="portrait" blackAndWhite="1" r:id="rId1"/>
  <headerFooter>
    <oddHeader>&amp;R&amp;"Verdana,Standard"&amp;10Version 23.1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AZ250"/>
  <sheetViews>
    <sheetView showZeros="0" zoomScaleNormal="100" workbookViewId="0">
      <pane xSplit="1" ySplit="4" topLeftCell="B5" activePane="bottomRight" state="frozen"/>
      <selection pane="topRight"/>
      <selection pane="bottomLeft"/>
      <selection pane="bottomRight" activeCell="AA18" sqref="AA18"/>
    </sheetView>
  </sheetViews>
  <sheetFormatPr baseColWidth="10" defaultRowHeight="12.75" outlineLevelCol="2" x14ac:dyDescent="0.2"/>
  <cols>
    <col min="1" max="1" width="33.375" customWidth="1"/>
    <col min="2" max="2" width="31.75" hidden="1" customWidth="1" outlineLevel="1"/>
    <col min="3" max="7" width="11.5" hidden="1" customWidth="1" outlineLevel="2"/>
    <col min="8" max="8" width="5.625" hidden="1" customWidth="1" outlineLevel="1"/>
    <col min="9" max="9" width="12.375" customWidth="1" collapsed="1"/>
    <col min="10" max="10" width="10" customWidth="1"/>
    <col min="11" max="11" width="10.75" customWidth="1"/>
    <col min="12" max="12" width="12.375" customWidth="1"/>
    <col min="13" max="14" width="10" customWidth="1"/>
    <col min="15" max="15" width="9.375" customWidth="1"/>
    <col min="16" max="17" width="8.875" customWidth="1"/>
    <col min="18" max="18" width="10" customWidth="1"/>
    <col min="19" max="19" width="8.875" customWidth="1"/>
    <col min="20" max="20" width="10" customWidth="1"/>
    <col min="21" max="21" width="7.125" customWidth="1"/>
    <col min="22" max="23" width="12.375" customWidth="1"/>
    <col min="24" max="25" width="5.625" customWidth="1"/>
  </cols>
  <sheetData>
    <row r="1" spans="1:52" ht="18" customHeight="1" x14ac:dyDescent="0.2">
      <c r="A1" s="301" t="str">
        <f>Stammblatt!A1</f>
        <v>Projekttitel</v>
      </c>
      <c r="B1" s="666"/>
      <c r="C1" s="666"/>
      <c r="D1" s="666"/>
      <c r="E1" s="666"/>
      <c r="F1" s="666"/>
      <c r="G1" s="666"/>
      <c r="H1" s="666"/>
      <c r="I1" s="281"/>
      <c r="J1" s="281"/>
      <c r="K1" s="281"/>
      <c r="L1" s="671"/>
      <c r="M1" s="1194" t="str">
        <f>IF(Stammblatt!$L$4=1,"L     O     H     N     N     E     B     E     N     K     O     S     T     E     N","N  O  N  -  W  A  G  E      L  A  B  O  U  R    C  O  S  T  S")</f>
        <v>L     O     H     N     N     E     B     E     N     K     O     S     T     E     N</v>
      </c>
      <c r="N1" s="1194"/>
      <c r="O1" s="1194"/>
      <c r="P1" s="1194"/>
      <c r="Q1" s="1194"/>
      <c r="R1" s="1194"/>
      <c r="S1" s="1194"/>
      <c r="T1" s="1194"/>
      <c r="U1" s="1194"/>
      <c r="V1" s="281"/>
      <c r="W1" s="281"/>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row>
    <row r="2" spans="1:52" x14ac:dyDescent="0.2">
      <c r="A2" s="286"/>
      <c r="B2" s="693"/>
      <c r="C2" s="683"/>
      <c r="D2" s="666"/>
      <c r="E2" s="666"/>
      <c r="F2" s="666"/>
      <c r="G2" s="666"/>
      <c r="H2" s="666"/>
      <c r="I2" s="1191" t="str">
        <f>IF(Stammblatt!$L$4=1,"BRUTTO-GEHALT","salary (gross)")</f>
        <v>BRUTTO-GEHALT</v>
      </c>
      <c r="J2" s="1179" t="str">
        <f>IF(Stammblatt!$L$4=1,"Sonder-zahlung       (SZ)","extra payment (SZ)")</f>
        <v>Sonder-zahlung       (SZ)</v>
      </c>
      <c r="K2" s="1179" t="str">
        <f>IF(Stammblatt!$L$4=1,"Urlaubs-ersatzleistung (UEL)","vacational compensation (UEL)")</f>
        <v>Urlaubs-ersatzleistung (UEL)</v>
      </c>
      <c r="L2" s="1176" t="str">
        <f>IF(Stammblatt!$L$4=1,"BRUTTO-GEHALT     inkl. SZ, UEL","salary (gross) incl. SZ &amp; UEL")</f>
        <v>BRUTTO-GEHALT     inkl. SZ, UEL</v>
      </c>
      <c r="M2" s="1188" t="str">
        <f>IF(Stammblatt!$L$4=1,"SV-DGA","social security")</f>
        <v>SV-DGA</v>
      </c>
      <c r="N2" s="1189"/>
      <c r="O2" s="1189"/>
      <c r="P2" s="1190"/>
      <c r="Q2" s="1179" t="str">
        <f>IF(Stammblatt!$L$4=1,"MV-Beitrag","provision for employee")</f>
        <v>MV-Beitrag</v>
      </c>
      <c r="R2" s="1103"/>
      <c r="S2" s="1103"/>
      <c r="T2" s="1179" t="str">
        <f>IF(Stammblatt!$L$4=1,"Kommunal-steuer","municipal tax")</f>
        <v>Kommunal-steuer</v>
      </c>
      <c r="U2" s="1179" t="str">
        <f>IF(Stammblatt!$L$4=1,"U-Bahn Abgabe","subway toll")</f>
        <v>U-Bahn Abgabe</v>
      </c>
      <c r="V2" s="1182" t="str">
        <f>IF(Stammblatt!$L$4=1,"SUMME Lohnneben-kosten","T O T A L   non-wage labour costs")</f>
        <v>SUMME Lohnneben-kosten</v>
      </c>
      <c r="W2" s="1176" t="str">
        <f>IF(Stammblatt!$L$4=1,"GESAMT-KOSTEN","TOTAL LABOUR COSTS")</f>
        <v>GESAMT-KOSTEN</v>
      </c>
      <c r="X2" s="666"/>
      <c r="Y2" s="683"/>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row>
    <row r="3" spans="1:52" ht="15" x14ac:dyDescent="0.2">
      <c r="A3" s="664"/>
      <c r="B3" s="664"/>
      <c r="C3" s="1185" t="s">
        <v>247</v>
      </c>
      <c r="D3" s="1186"/>
      <c r="E3" s="1186"/>
      <c r="F3" s="1186"/>
      <c r="G3" s="1187"/>
      <c r="H3" s="698"/>
      <c r="I3" s="1192"/>
      <c r="J3" s="1180"/>
      <c r="K3" s="1180"/>
      <c r="L3" s="1177"/>
      <c r="M3" s="672" t="s">
        <v>159</v>
      </c>
      <c r="N3" s="672" t="s">
        <v>161</v>
      </c>
      <c r="O3" s="673"/>
      <c r="P3" s="673"/>
      <c r="Q3" s="1180"/>
      <c r="R3" s="1104" t="s">
        <v>132</v>
      </c>
      <c r="S3" s="1104" t="s">
        <v>133</v>
      </c>
      <c r="T3" s="1180"/>
      <c r="U3" s="1180"/>
      <c r="V3" s="1183"/>
      <c r="W3" s="1177"/>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row>
    <row r="4" spans="1:52" ht="24" customHeight="1" x14ac:dyDescent="0.2">
      <c r="A4" s="705" t="str">
        <f>IF(Stammblatt!$L$4=1,"S T A B  -  F U N K T I O N","S T A F F  -  F U N C T I O N")</f>
        <v>S T A B  -  F U N K T I O N</v>
      </c>
      <c r="B4" s="685" t="s">
        <v>506</v>
      </c>
      <c r="C4" s="697" t="s">
        <v>507</v>
      </c>
      <c r="D4" s="697" t="s">
        <v>508</v>
      </c>
      <c r="E4" s="697" t="s">
        <v>509</v>
      </c>
      <c r="F4" s="697" t="s">
        <v>510</v>
      </c>
      <c r="G4" s="697" t="s">
        <v>148</v>
      </c>
      <c r="H4" s="665"/>
      <c r="I4" s="1193"/>
      <c r="J4" s="1181"/>
      <c r="K4" s="1181"/>
      <c r="L4" s="1178"/>
      <c r="M4" s="672" t="s">
        <v>160</v>
      </c>
      <c r="N4" s="672" t="s">
        <v>162</v>
      </c>
      <c r="O4" s="672" t="s">
        <v>176</v>
      </c>
      <c r="P4" s="672" t="s">
        <v>177</v>
      </c>
      <c r="Q4" s="1181"/>
      <c r="R4" s="1104"/>
      <c r="S4" s="1104"/>
      <c r="T4" s="1181" t="s">
        <v>158</v>
      </c>
      <c r="U4" s="1181"/>
      <c r="V4" s="1184"/>
      <c r="W4" s="1178"/>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row>
    <row r="5" spans="1:52" ht="12.75" customHeight="1" x14ac:dyDescent="0.2">
      <c r="A5" s="706" t="str">
        <f>'Kalkulation Herstellungskosten'!B29</f>
        <v>Herstellungsleitung</v>
      </c>
      <c r="B5" s="694"/>
      <c r="C5" s="37"/>
      <c r="D5" s="90"/>
      <c r="E5" s="703"/>
      <c r="F5" s="91"/>
      <c r="G5" s="701"/>
      <c r="H5" s="699"/>
      <c r="I5" s="674">
        <f>'Kalkulation Herstellungskosten'!G29/((1+1/6)*1.1041)</f>
        <v>0</v>
      </c>
      <c r="J5" s="675">
        <f>I5/6</f>
        <v>0</v>
      </c>
      <c r="K5" s="675">
        <f>(I5+J5)*10.41%</f>
        <v>0</v>
      </c>
      <c r="L5" s="667">
        <f>SUM(I5:K5)</f>
        <v>0</v>
      </c>
      <c r="M5" s="675">
        <f>IF(AND('Kalkulation Herstellungskosten'!C29=0,'Kalkulation Herstellungskosten'!C30=0),0,IF(I5/('Kalkulation Herstellungskosten'!C29+'Kalkulation Herstellungskosten'!C30)&gt;SVGrund_lfd_wö,('Kalkulation Herstellungskosten'!C29+'Kalkulation Herstellungskosten'!C30)*Höchst_Woche,I5*SV_lfd))</f>
        <v>0</v>
      </c>
      <c r="N5" s="675">
        <f t="shared" ref="N5" si="0">IF(J5&gt;SVGrund_SZ, Höchst_Mo_SZ,J5*SV_SZ)</f>
        <v>0</v>
      </c>
      <c r="O5" s="675">
        <f>IF(I5*10.41%&gt;(0.5833*('Kalkulation Herstellungskosten'!C30+'Kalkulation Herstellungskosten'!C29)*SVGrund_lfd_tä),(0.5833*('Kalkulation Herstellungskosten'!C30+'Kalkulation Herstellungskosten'!C29)*Höchst_Tag),I5*10.41%*SV_lfd)</f>
        <v>0</v>
      </c>
      <c r="P5" s="675">
        <f t="shared" ref="P5" si="1">IF(J5&gt;SVGrund_SZ,0,IF(J5*10.41%&gt;(SVGrund_SZ-J5),(SVGrund_SZ-J5)*SV_SZ,J5*10.41%*SV_SZ))</f>
        <v>0</v>
      </c>
      <c r="Q5" s="675">
        <f t="shared" ref="Q5" si="2">L5*MV</f>
        <v>0</v>
      </c>
      <c r="R5" s="675">
        <f t="shared" ref="R5" si="3">L5*DB</f>
        <v>0</v>
      </c>
      <c r="S5" s="675">
        <f t="shared" ref="S5" si="4">L5*DZ</f>
        <v>0</v>
      </c>
      <c r="T5" s="675">
        <f t="shared" ref="T5" si="5">L5*KommSt</f>
        <v>0</v>
      </c>
      <c r="U5" s="675">
        <f>('Kalkulation Herstellungskosten'!C29+'Kalkulation Herstellungskosten'!C30)*U_Bahn</f>
        <v>0</v>
      </c>
      <c r="V5" s="667">
        <f t="shared" ref="V5" si="6">SUM(M5:U5)</f>
        <v>0</v>
      </c>
      <c r="W5" s="667">
        <f>SUM(L5,V5)</f>
        <v>0</v>
      </c>
      <c r="X5" s="666"/>
      <c r="Y5" s="688"/>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row>
    <row r="6" spans="1:52" ht="12.75" customHeight="1" x14ac:dyDescent="0.2">
      <c r="A6" s="706" t="str">
        <f>'Kalkulation Herstellungskosten'!B31</f>
        <v>Produktionsleitung</v>
      </c>
      <c r="B6" s="694"/>
      <c r="C6" s="90"/>
      <c r="D6" s="90"/>
      <c r="E6" s="703">
        <f>IF(C6=0,0,(D6-C6+1)/7)</f>
        <v>0</v>
      </c>
      <c r="F6" s="91"/>
      <c r="G6" s="701">
        <f>E6*F6</f>
        <v>0</v>
      </c>
      <c r="H6" s="699"/>
      <c r="I6" s="674">
        <f>'Kalkulation Herstellungskosten'!G31/((1+1/6)*1.1041)</f>
        <v>0</v>
      </c>
      <c r="J6" s="675">
        <f t="shared" ref="J6:J37" si="7">I6/6</f>
        <v>0</v>
      </c>
      <c r="K6" s="675">
        <f t="shared" ref="K6:K37" si="8">(I6+J6)*10.41%</f>
        <v>0</v>
      </c>
      <c r="L6" s="667">
        <f t="shared" ref="L6:L37" si="9">SUM(I6:K6)</f>
        <v>0</v>
      </c>
      <c r="M6" s="675">
        <f>IF(AND('Kalkulation Herstellungskosten'!C31=0,'Kalkulation Herstellungskosten'!C32=0),0,IF(I6/('Kalkulation Herstellungskosten'!C31+'Kalkulation Herstellungskosten'!C32)&gt;SVGrund_lfd_wö,('Kalkulation Herstellungskosten'!C31+'Kalkulation Herstellungskosten'!C32)*Höchst_Woche,I6*SV_lfd))</f>
        <v>0</v>
      </c>
      <c r="N6" s="675">
        <f t="shared" ref="N6:N16" si="10">IF(J6&gt;SVGrund_SZ, Höchst_Mo_SZ,J6*SV_SZ)</f>
        <v>0</v>
      </c>
      <c r="O6" s="675">
        <f>IF(I6*10.41%&gt;(0.5833*('Kalkulation Herstellungskosten'!C32+'Kalkulation Herstellungskosten'!C31)*SVGrund_lfd_tä),(0.5833*('Kalkulation Herstellungskosten'!C32+'Kalkulation Herstellungskosten'!C31)*Höchst_Tag),I6*10.41%*SV_lfd)</f>
        <v>0</v>
      </c>
      <c r="P6" s="675">
        <f t="shared" ref="P6:P16" si="11">IF(J6&gt;SVGrund_SZ,0,IF(J6*10.41%&gt;(SVGrund_SZ-J6),(SVGrund_SZ-J6)*SV_SZ,J6*10.41%*SV_SZ))</f>
        <v>0</v>
      </c>
      <c r="Q6" s="675">
        <f t="shared" ref="Q6:Q39" si="12">L6*MV</f>
        <v>0</v>
      </c>
      <c r="R6" s="675">
        <f t="shared" ref="R6:R39" si="13">L6*DB</f>
        <v>0</v>
      </c>
      <c r="S6" s="675">
        <f t="shared" ref="S6:S39" si="14">L6*DZ</f>
        <v>0</v>
      </c>
      <c r="T6" s="675">
        <f t="shared" ref="T6:T39" si="15">L6*KommSt</f>
        <v>0</v>
      </c>
      <c r="U6" s="675">
        <f>('Kalkulation Herstellungskosten'!C31+'Kalkulation Herstellungskosten'!C32)*U_Bahn</f>
        <v>0</v>
      </c>
      <c r="V6" s="667">
        <f t="shared" ref="V6:V16" si="16">SUM(M6:U6)</f>
        <v>0</v>
      </c>
      <c r="W6" s="667">
        <f>SUM(L6,V6)</f>
        <v>0</v>
      </c>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row>
    <row r="7" spans="1:52" ht="12.75" customHeight="1" x14ac:dyDescent="0.2">
      <c r="A7" s="706" t="str">
        <f>'Kalkulation Herstellungskosten'!B33</f>
        <v>Aufnahmeleitung (1. AL)</v>
      </c>
      <c r="B7" s="694"/>
      <c r="C7" s="87"/>
      <c r="D7" s="87"/>
      <c r="E7" s="704">
        <f t="shared" ref="E7:E56" si="17">IF(C7=0,0,(D7-C7+1)/7)</f>
        <v>0</v>
      </c>
      <c r="F7" s="88"/>
      <c r="G7" s="702">
        <f t="shared" ref="G7:G56" si="18">E7*F7</f>
        <v>0</v>
      </c>
      <c r="H7" s="699"/>
      <c r="I7" s="674">
        <f>'Kalkulation Herstellungskosten'!G33/((1+1/6)*1.1041)</f>
        <v>0</v>
      </c>
      <c r="J7" s="675">
        <f t="shared" si="7"/>
        <v>0</v>
      </c>
      <c r="K7" s="675">
        <f t="shared" si="8"/>
        <v>0</v>
      </c>
      <c r="L7" s="667">
        <f t="shared" si="9"/>
        <v>0</v>
      </c>
      <c r="M7" s="675">
        <f>IF(AND('Kalkulation Herstellungskosten'!C33=0,'Kalkulation Herstellungskosten'!C34=0),0,IF(I7/('Kalkulation Herstellungskosten'!C33+'Kalkulation Herstellungskosten'!C34)&gt;SVGrund_lfd_wö,('Kalkulation Herstellungskosten'!C33+'Kalkulation Herstellungskosten'!C34)*Höchst_Woche,I7*SV_lfd))</f>
        <v>0</v>
      </c>
      <c r="N7" s="675">
        <f t="shared" si="10"/>
        <v>0</v>
      </c>
      <c r="O7" s="675">
        <f>IF(I7*10.41%&gt;(0.5833*('Kalkulation Herstellungskosten'!C34+'Kalkulation Herstellungskosten'!C33)*SVGrund_lfd_tä),(0.5833*('Kalkulation Herstellungskosten'!C34+'Kalkulation Herstellungskosten'!C33)*Höchst_Tag),I7*10.41%*SV_lfd)</f>
        <v>0</v>
      </c>
      <c r="P7" s="675">
        <f t="shared" si="11"/>
        <v>0</v>
      </c>
      <c r="Q7" s="675">
        <f t="shared" si="12"/>
        <v>0</v>
      </c>
      <c r="R7" s="675">
        <f t="shared" si="13"/>
        <v>0</v>
      </c>
      <c r="S7" s="675">
        <f t="shared" si="14"/>
        <v>0</v>
      </c>
      <c r="T7" s="675">
        <f t="shared" si="15"/>
        <v>0</v>
      </c>
      <c r="U7" s="675">
        <f>('Kalkulation Herstellungskosten'!C33+'Kalkulation Herstellungskosten'!C34)*U_Bahn</f>
        <v>0</v>
      </c>
      <c r="V7" s="667">
        <f t="shared" si="16"/>
        <v>0</v>
      </c>
      <c r="W7" s="667">
        <f t="shared" ref="W7:W16" si="19">SUM(L7,V7)</f>
        <v>0</v>
      </c>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row>
    <row r="8" spans="1:52" ht="12.75" customHeight="1" x14ac:dyDescent="0.2">
      <c r="A8" s="706" t="str">
        <f>'Kalkulation Herstellungskosten'!B35</f>
        <v>Set-Aufnahmeleitung (2. AL)</v>
      </c>
      <c r="B8" s="694"/>
      <c r="C8" s="87"/>
      <c r="D8" s="87"/>
      <c r="E8" s="704">
        <f t="shared" si="17"/>
        <v>0</v>
      </c>
      <c r="F8" s="88"/>
      <c r="G8" s="702">
        <f t="shared" si="18"/>
        <v>0</v>
      </c>
      <c r="H8" s="699"/>
      <c r="I8" s="674">
        <f>'Kalkulation Herstellungskosten'!G35/((1+1/6)*1.1041)</f>
        <v>0</v>
      </c>
      <c r="J8" s="675">
        <f t="shared" si="7"/>
        <v>0</v>
      </c>
      <c r="K8" s="675">
        <f t="shared" si="8"/>
        <v>0</v>
      </c>
      <c r="L8" s="667">
        <f t="shared" si="9"/>
        <v>0</v>
      </c>
      <c r="M8" s="675">
        <f>IF(AND('Kalkulation Herstellungskosten'!C35=0,'Kalkulation Herstellungskosten'!C36=0),0,IF(I8/('Kalkulation Herstellungskosten'!C35+'Kalkulation Herstellungskosten'!C36)&gt;SVGrund_lfd_wö,('Kalkulation Herstellungskosten'!C35+'Kalkulation Herstellungskosten'!C36)*Höchst_Woche,I8*SV_lfd))</f>
        <v>0</v>
      </c>
      <c r="N8" s="675">
        <f t="shared" si="10"/>
        <v>0</v>
      </c>
      <c r="O8" s="675">
        <f>IF(I8*10.41%&gt;(0.5833*('Kalkulation Herstellungskosten'!C36+'Kalkulation Herstellungskosten'!C35)*SVGrund_lfd_tä),(0.5833*('Kalkulation Herstellungskosten'!C36+'Kalkulation Herstellungskosten'!C35)*Höchst_Tag),I8*10.41%*SV_lfd)</f>
        <v>0</v>
      </c>
      <c r="P8" s="675">
        <f t="shared" si="11"/>
        <v>0</v>
      </c>
      <c r="Q8" s="675">
        <f t="shared" si="12"/>
        <v>0</v>
      </c>
      <c r="R8" s="675">
        <f t="shared" si="13"/>
        <v>0</v>
      </c>
      <c r="S8" s="675">
        <f t="shared" si="14"/>
        <v>0</v>
      </c>
      <c r="T8" s="675">
        <f t="shared" si="15"/>
        <v>0</v>
      </c>
      <c r="U8" s="675">
        <f>('Kalkulation Herstellungskosten'!C35+'Kalkulation Herstellungskosten'!C36)*U_Bahn</f>
        <v>0</v>
      </c>
      <c r="V8" s="667">
        <f t="shared" si="16"/>
        <v>0</v>
      </c>
      <c r="W8" s="667">
        <f t="shared" si="19"/>
        <v>0</v>
      </c>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row>
    <row r="9" spans="1:52" ht="12.75" customHeight="1" x14ac:dyDescent="0.2">
      <c r="A9" s="706" t="str">
        <f>'Kalkulation Herstellungskosten'!B37</f>
        <v>Produktionskoordination</v>
      </c>
      <c r="B9" s="694"/>
      <c r="C9" s="87"/>
      <c r="D9" s="87"/>
      <c r="E9" s="704"/>
      <c r="F9" s="88"/>
      <c r="G9" s="702"/>
      <c r="H9" s="699"/>
      <c r="I9" s="674">
        <f>'Kalkulation Herstellungskosten'!G37/((1+1/6)*1.1041)</f>
        <v>0</v>
      </c>
      <c r="J9" s="675">
        <f t="shared" ref="J9" si="20">I9/6</f>
        <v>0</v>
      </c>
      <c r="K9" s="675">
        <f t="shared" ref="K9" si="21">(I9+J9)*10.41%</f>
        <v>0</v>
      </c>
      <c r="L9" s="667">
        <f t="shared" ref="L9" si="22">SUM(I9:K9)</f>
        <v>0</v>
      </c>
      <c r="M9" s="675">
        <f>IF(AND('Kalkulation Herstellungskosten'!C37=0,'Kalkulation Herstellungskosten'!C38=0),0,IF(I9/('Kalkulation Herstellungskosten'!C37+'Kalkulation Herstellungskosten'!C38)&gt;SVGrund_lfd_wö,('Kalkulation Herstellungskosten'!C37+'Kalkulation Herstellungskosten'!C38)*Höchst_Woche,I9*SV_lfd))</f>
        <v>0</v>
      </c>
      <c r="N9" s="675">
        <f t="shared" ref="N9" si="23">IF(J9&gt;SVGrund_SZ, Höchst_Mo_SZ,J9*SV_SZ)</f>
        <v>0</v>
      </c>
      <c r="O9" s="675">
        <f>IF(I9*10.41%&gt;(0.5833*('Kalkulation Herstellungskosten'!C38+'Kalkulation Herstellungskosten'!C37)*SVGrund_lfd_tä),(0.5833*('Kalkulation Herstellungskosten'!C38+'Kalkulation Herstellungskosten'!C37)*Höchst_Tag),I9*10.41%*SV_lfd)</f>
        <v>0</v>
      </c>
      <c r="P9" s="675">
        <f t="shared" ref="P9" si="24">IF(J9&gt;SVGrund_SZ,0,IF(J9*10.41%&gt;(SVGrund_SZ-J9),(SVGrund_SZ-J9)*SV_SZ,J9*10.41%*SV_SZ))</f>
        <v>0</v>
      </c>
      <c r="Q9" s="675">
        <f t="shared" ref="Q9" si="25">L9*MV</f>
        <v>0</v>
      </c>
      <c r="R9" s="675">
        <f t="shared" ref="R9" si="26">L9*DB</f>
        <v>0</v>
      </c>
      <c r="S9" s="675">
        <f t="shared" ref="S9" si="27">L9*DZ</f>
        <v>0</v>
      </c>
      <c r="T9" s="675">
        <f t="shared" ref="T9" si="28">L9*KommSt</f>
        <v>0</v>
      </c>
      <c r="U9" s="675">
        <f>('Kalkulation Herstellungskosten'!C37+'Kalkulation Herstellungskosten'!C38)*U_Bahn</f>
        <v>0</v>
      </c>
      <c r="V9" s="667">
        <f t="shared" ref="V9" si="29">SUM(M9:U9)</f>
        <v>0</v>
      </c>
      <c r="W9" s="667">
        <f t="shared" ref="W9" si="30">SUM(L9,V9)</f>
        <v>0</v>
      </c>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row>
    <row r="10" spans="1:52" ht="12.75" customHeight="1" x14ac:dyDescent="0.2">
      <c r="A10" s="706" t="str">
        <f>'Kalkulation Herstellungskosten'!B39</f>
        <v>Postproduktionskoordination</v>
      </c>
      <c r="B10" s="694"/>
      <c r="C10" s="87"/>
      <c r="D10" s="87"/>
      <c r="E10" s="704">
        <f t="shared" si="17"/>
        <v>0</v>
      </c>
      <c r="F10" s="88"/>
      <c r="G10" s="702">
        <f t="shared" si="18"/>
        <v>0</v>
      </c>
      <c r="H10" s="699"/>
      <c r="I10" s="674">
        <f>'Kalkulation Herstellungskosten'!G39/((1+1/6)*1.1041)</f>
        <v>0</v>
      </c>
      <c r="J10" s="675">
        <f t="shared" si="7"/>
        <v>0</v>
      </c>
      <c r="K10" s="675">
        <f t="shared" si="8"/>
        <v>0</v>
      </c>
      <c r="L10" s="667">
        <f t="shared" si="9"/>
        <v>0</v>
      </c>
      <c r="M10" s="675">
        <f>IF(AND('Kalkulation Herstellungskosten'!C39=0,'Kalkulation Herstellungskosten'!C40=0),0,IF(I10/('Kalkulation Herstellungskosten'!C39+'Kalkulation Herstellungskosten'!C40)&gt;SVGrund_lfd_wö,('Kalkulation Herstellungskosten'!C39+'Kalkulation Herstellungskosten'!C40)*Höchst_Woche,I10*SV_lfd))</f>
        <v>0</v>
      </c>
      <c r="N10" s="675">
        <f t="shared" si="10"/>
        <v>0</v>
      </c>
      <c r="O10" s="675">
        <f>IF(I10*10.41%&gt;(0.5833*('Kalkulation Herstellungskosten'!C40+'Kalkulation Herstellungskosten'!C39)*SVGrund_lfd_tä),(0.5833*('Kalkulation Herstellungskosten'!C40+'Kalkulation Herstellungskosten'!C39)*Höchst_Tag),I10*10.41%*SV_lfd)</f>
        <v>0</v>
      </c>
      <c r="P10" s="675">
        <f t="shared" si="11"/>
        <v>0</v>
      </c>
      <c r="Q10" s="675">
        <f t="shared" si="12"/>
        <v>0</v>
      </c>
      <c r="R10" s="675">
        <f t="shared" si="13"/>
        <v>0</v>
      </c>
      <c r="S10" s="675">
        <f t="shared" si="14"/>
        <v>0</v>
      </c>
      <c r="T10" s="675">
        <f t="shared" si="15"/>
        <v>0</v>
      </c>
      <c r="U10" s="675">
        <f>('Kalkulation Herstellungskosten'!C39+'Kalkulation Herstellungskosten'!C40)*U_Bahn</f>
        <v>0</v>
      </c>
      <c r="V10" s="667">
        <f t="shared" si="16"/>
        <v>0</v>
      </c>
      <c r="W10" s="667">
        <f t="shared" si="19"/>
        <v>0</v>
      </c>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row>
    <row r="11" spans="1:52" ht="12.75" customHeight="1" x14ac:dyDescent="0.2">
      <c r="A11" s="706" t="str">
        <f>'Kalkulation Herstellungskosten'!B41</f>
        <v>Produktionsassistenz</v>
      </c>
      <c r="B11" s="694"/>
      <c r="C11" s="87"/>
      <c r="D11" s="87"/>
      <c r="E11" s="704">
        <f t="shared" si="17"/>
        <v>0</v>
      </c>
      <c r="F11" s="88"/>
      <c r="G11" s="702">
        <f t="shared" si="18"/>
        <v>0</v>
      </c>
      <c r="H11" s="699"/>
      <c r="I11" s="674">
        <f>'Kalkulation Herstellungskosten'!G41/((1+1/6)*1.1041)</f>
        <v>0</v>
      </c>
      <c r="J11" s="675">
        <f t="shared" si="7"/>
        <v>0</v>
      </c>
      <c r="K11" s="675">
        <f t="shared" si="8"/>
        <v>0</v>
      </c>
      <c r="L11" s="667">
        <f t="shared" si="9"/>
        <v>0</v>
      </c>
      <c r="M11" s="675">
        <f>IF(AND('Kalkulation Herstellungskosten'!C41=0,'Kalkulation Herstellungskosten'!C42=0),0,IF(I11/('Kalkulation Herstellungskosten'!C41+'Kalkulation Herstellungskosten'!C42)&gt;SVGrund_lfd_wö,('Kalkulation Herstellungskosten'!C41+'Kalkulation Herstellungskosten'!C42)*Höchst_Woche,I11*SV_lfd))</f>
        <v>0</v>
      </c>
      <c r="N11" s="675">
        <f t="shared" si="10"/>
        <v>0</v>
      </c>
      <c r="O11" s="675">
        <f>IF(I11*10.41%&gt;(0.5833*('Kalkulation Herstellungskosten'!C42+'Kalkulation Herstellungskosten'!C41)*SVGrund_lfd_tä),(0.5833*('Kalkulation Herstellungskosten'!C42+'Kalkulation Herstellungskosten'!C41)*Höchst_Tag),I11*10.41%*SV_lfd)</f>
        <v>0</v>
      </c>
      <c r="P11" s="675">
        <f t="shared" si="11"/>
        <v>0</v>
      </c>
      <c r="Q11" s="675">
        <f t="shared" si="12"/>
        <v>0</v>
      </c>
      <c r="R11" s="675">
        <f t="shared" si="13"/>
        <v>0</v>
      </c>
      <c r="S11" s="675">
        <f t="shared" si="14"/>
        <v>0</v>
      </c>
      <c r="T11" s="675">
        <f t="shared" si="15"/>
        <v>0</v>
      </c>
      <c r="U11" s="675">
        <f>('Kalkulation Herstellungskosten'!C41+'Kalkulation Herstellungskosten'!C42)*U_Bahn</f>
        <v>0</v>
      </c>
      <c r="V11" s="667">
        <f t="shared" si="16"/>
        <v>0</v>
      </c>
      <c r="W11" s="667">
        <f t="shared" si="19"/>
        <v>0</v>
      </c>
      <c r="X11" s="666"/>
      <c r="Y11" s="689"/>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6"/>
      <c r="AZ11" s="666"/>
    </row>
    <row r="12" spans="1:52" ht="12.75" customHeight="1" x14ac:dyDescent="0.2">
      <c r="A12" s="706" t="str">
        <f>'Kalkulation Herstellungskosten'!B43</f>
        <v>Filmgeschäftsführung</v>
      </c>
      <c r="B12" s="694"/>
      <c r="C12" s="87"/>
      <c r="D12" s="87"/>
      <c r="E12" s="704">
        <f t="shared" si="17"/>
        <v>0</v>
      </c>
      <c r="F12" s="88"/>
      <c r="G12" s="702">
        <f t="shared" si="18"/>
        <v>0</v>
      </c>
      <c r="H12" s="699"/>
      <c r="I12" s="674">
        <f>'Kalkulation Herstellungskosten'!G43/((1+1/6)*1.1041)</f>
        <v>0</v>
      </c>
      <c r="J12" s="675">
        <f t="shared" si="7"/>
        <v>0</v>
      </c>
      <c r="K12" s="675">
        <f t="shared" si="8"/>
        <v>0</v>
      </c>
      <c r="L12" s="667">
        <f t="shared" si="9"/>
        <v>0</v>
      </c>
      <c r="M12" s="675">
        <f>IF(AND('Kalkulation Herstellungskosten'!C43=0,'Kalkulation Herstellungskosten'!C44=0),0,IF(I12/('Kalkulation Herstellungskosten'!C43+'Kalkulation Herstellungskosten'!C44)&gt;SVGrund_lfd_wö,('Kalkulation Herstellungskosten'!C43+'Kalkulation Herstellungskosten'!C44)*Höchst_Woche,I12*SV_lfd))</f>
        <v>0</v>
      </c>
      <c r="N12" s="675">
        <f t="shared" si="10"/>
        <v>0</v>
      </c>
      <c r="O12" s="675">
        <f>IF(I12*10.41%&gt;(0.5833*('Kalkulation Herstellungskosten'!C44+'Kalkulation Herstellungskosten'!C43)*SVGrund_lfd_tä),(0.5833*('Kalkulation Herstellungskosten'!C44+'Kalkulation Herstellungskosten'!C43)*Höchst_Tag),I12*10.41%*SV_lfd)</f>
        <v>0</v>
      </c>
      <c r="P12" s="675">
        <f t="shared" si="11"/>
        <v>0</v>
      </c>
      <c r="Q12" s="675">
        <f t="shared" si="12"/>
        <v>0</v>
      </c>
      <c r="R12" s="675">
        <f t="shared" si="13"/>
        <v>0</v>
      </c>
      <c r="S12" s="675">
        <f t="shared" si="14"/>
        <v>0</v>
      </c>
      <c r="T12" s="675">
        <f t="shared" si="15"/>
        <v>0</v>
      </c>
      <c r="U12" s="675">
        <f>('Kalkulation Herstellungskosten'!C43+'Kalkulation Herstellungskosten'!C44)*U_Bahn</f>
        <v>0</v>
      </c>
      <c r="V12" s="667">
        <f t="shared" si="16"/>
        <v>0</v>
      </c>
      <c r="W12" s="667">
        <f t="shared" si="19"/>
        <v>0</v>
      </c>
      <c r="X12" s="666"/>
      <c r="Y12" s="689"/>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row>
    <row r="13" spans="1:52" ht="12.75" customHeight="1" x14ac:dyDescent="0.2">
      <c r="A13" s="706" t="str">
        <f>'Kalkulation Herstellungskosten'!B45</f>
        <v>Regie</v>
      </c>
      <c r="B13" s="695"/>
      <c r="C13" s="87"/>
      <c r="D13" s="87"/>
      <c r="E13" s="704">
        <f t="shared" si="17"/>
        <v>0</v>
      </c>
      <c r="F13" s="88"/>
      <c r="G13" s="702">
        <f t="shared" si="18"/>
        <v>0</v>
      </c>
      <c r="H13" s="699"/>
      <c r="I13" s="674">
        <f>'Kalkulation Herstellungskosten'!G45/((1+1/6)*1.1041)</f>
        <v>0</v>
      </c>
      <c r="J13" s="675">
        <f t="shared" si="7"/>
        <v>0</v>
      </c>
      <c r="K13" s="675">
        <f t="shared" si="8"/>
        <v>0</v>
      </c>
      <c r="L13" s="667">
        <f t="shared" si="9"/>
        <v>0</v>
      </c>
      <c r="M13" s="675">
        <f>IF('Kalkulation Herstellungskosten'!C45=0,0,IF(I13/('Kalkulation Herstellungskosten'!C45)&gt;SVGrund_lfd_wö,('Kalkulation Herstellungskosten'!C45)*Höchst_Woche,I13*SV_lfd))</f>
        <v>0</v>
      </c>
      <c r="N13" s="675">
        <f t="shared" si="10"/>
        <v>0</v>
      </c>
      <c r="O13" s="675">
        <f>IF(I13*10.41%&gt;(0.5833*'Kalkulation Herstellungskosten'!C45*SVGrund_lfd_tä),(0.5833*'Kalkulation Herstellungskosten'!C45*Höchst_Tag),I13*10.41%*SV_lfd)</f>
        <v>0</v>
      </c>
      <c r="P13" s="675">
        <f t="shared" si="11"/>
        <v>0</v>
      </c>
      <c r="Q13" s="675">
        <f t="shared" si="12"/>
        <v>0</v>
      </c>
      <c r="R13" s="675">
        <f t="shared" si="13"/>
        <v>0</v>
      </c>
      <c r="S13" s="675">
        <f t="shared" si="14"/>
        <v>0</v>
      </c>
      <c r="T13" s="675">
        <f t="shared" si="15"/>
        <v>0</v>
      </c>
      <c r="U13" s="675">
        <f>'Kalkulation Herstellungskosten'!C45*U_Bahn</f>
        <v>0</v>
      </c>
      <c r="V13" s="667">
        <f t="shared" si="16"/>
        <v>0</v>
      </c>
      <c r="W13" s="667">
        <f t="shared" si="19"/>
        <v>0</v>
      </c>
      <c r="X13" s="666"/>
      <c r="Y13" s="689"/>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row>
    <row r="14" spans="1:52" ht="12.75" customHeight="1" x14ac:dyDescent="0.2">
      <c r="A14" s="706" t="str">
        <f>'Kalkulation Herstellungskosten'!B46</f>
        <v>Regieassistenz</v>
      </c>
      <c r="B14" s="694"/>
      <c r="C14" s="87"/>
      <c r="D14" s="87"/>
      <c r="E14" s="704">
        <f t="shared" si="17"/>
        <v>0</v>
      </c>
      <c r="F14" s="88"/>
      <c r="G14" s="702">
        <f t="shared" si="18"/>
        <v>0</v>
      </c>
      <c r="H14" s="699"/>
      <c r="I14" s="674">
        <f>'Kalkulation Herstellungskosten'!G46/((1+1/6)*1.1041)</f>
        <v>0</v>
      </c>
      <c r="J14" s="675">
        <f t="shared" si="7"/>
        <v>0</v>
      </c>
      <c r="K14" s="675">
        <f t="shared" si="8"/>
        <v>0</v>
      </c>
      <c r="L14" s="667">
        <f t="shared" si="9"/>
        <v>0</v>
      </c>
      <c r="M14" s="675">
        <f>IF(AND('Kalkulation Herstellungskosten'!C46=0,'Kalkulation Herstellungskosten'!C47=0),0,IF(I14/('Kalkulation Herstellungskosten'!C46+'Kalkulation Herstellungskosten'!C47)&gt;SVGrund_lfd_wö,('Kalkulation Herstellungskosten'!C46+'Kalkulation Herstellungskosten'!C47)*Höchst_Woche,I14*SV_lfd))</f>
        <v>0</v>
      </c>
      <c r="N14" s="675">
        <f t="shared" si="10"/>
        <v>0</v>
      </c>
      <c r="O14" s="675">
        <f>IF(I14*10.41%&gt;(0.5833*('Kalkulation Herstellungskosten'!C47+'Kalkulation Herstellungskosten'!C46)*SVGrund_lfd_tä),(0.5833*('Kalkulation Herstellungskosten'!C47+'Kalkulation Herstellungskosten'!C46)*Höchst_Tag),I14*10.41%*SV_lfd)</f>
        <v>0</v>
      </c>
      <c r="P14" s="675">
        <f t="shared" si="11"/>
        <v>0</v>
      </c>
      <c r="Q14" s="675">
        <f t="shared" si="12"/>
        <v>0</v>
      </c>
      <c r="R14" s="675">
        <f t="shared" si="13"/>
        <v>0</v>
      </c>
      <c r="S14" s="675">
        <f t="shared" si="14"/>
        <v>0</v>
      </c>
      <c r="T14" s="675">
        <f t="shared" si="15"/>
        <v>0</v>
      </c>
      <c r="U14" s="675">
        <f>('Kalkulation Herstellungskosten'!C46+'Kalkulation Herstellungskosten'!C47)*U_Bahn</f>
        <v>0</v>
      </c>
      <c r="V14" s="667">
        <f t="shared" si="16"/>
        <v>0</v>
      </c>
      <c r="W14" s="667">
        <f t="shared" si="19"/>
        <v>0</v>
      </c>
      <c r="X14" s="666"/>
      <c r="Y14" s="689"/>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row>
    <row r="15" spans="1:52" ht="12.75" customHeight="1" x14ac:dyDescent="0.2">
      <c r="A15" s="706" t="str">
        <f>'Kalkulation Herstellungskosten'!B48</f>
        <v>Continuity/Skript</v>
      </c>
      <c r="B15" s="694"/>
      <c r="C15" s="87"/>
      <c r="D15" s="87"/>
      <c r="E15" s="704">
        <f t="shared" si="17"/>
        <v>0</v>
      </c>
      <c r="F15" s="88"/>
      <c r="G15" s="702">
        <f t="shared" si="18"/>
        <v>0</v>
      </c>
      <c r="H15" s="699"/>
      <c r="I15" s="674">
        <f>'Kalkulation Herstellungskosten'!G48/((1+1/6)*1.1041)</f>
        <v>0</v>
      </c>
      <c r="J15" s="675">
        <f t="shared" si="7"/>
        <v>0</v>
      </c>
      <c r="K15" s="675">
        <f t="shared" si="8"/>
        <v>0</v>
      </c>
      <c r="L15" s="667">
        <f t="shared" si="9"/>
        <v>0</v>
      </c>
      <c r="M15" s="675">
        <f>IF(AND('Kalkulation Herstellungskosten'!C48=0,'Kalkulation Herstellungskosten'!C49=0),0,IF(I15/('Kalkulation Herstellungskosten'!C48+'Kalkulation Herstellungskosten'!C49)&gt;SVGrund_lfd_wö,('Kalkulation Herstellungskosten'!C48+'Kalkulation Herstellungskosten'!C49)*Höchst_Woche,I15*SV_lfd))</f>
        <v>0</v>
      </c>
      <c r="N15" s="675">
        <f t="shared" si="10"/>
        <v>0</v>
      </c>
      <c r="O15" s="675">
        <f>IF(I15*10.41%&gt;(0.5833*('Kalkulation Herstellungskosten'!C49+'Kalkulation Herstellungskosten'!C48)*SVGrund_lfd_tä),(0.5833*('Kalkulation Herstellungskosten'!C49+'Kalkulation Herstellungskosten'!C48)*Höchst_Tag),I15*10.41%*SV_lfd)</f>
        <v>0</v>
      </c>
      <c r="P15" s="675">
        <f t="shared" si="11"/>
        <v>0</v>
      </c>
      <c r="Q15" s="675">
        <f t="shared" si="12"/>
        <v>0</v>
      </c>
      <c r="R15" s="675">
        <f t="shared" si="13"/>
        <v>0</v>
      </c>
      <c r="S15" s="675">
        <f t="shared" si="14"/>
        <v>0</v>
      </c>
      <c r="T15" s="675">
        <f t="shared" si="15"/>
        <v>0</v>
      </c>
      <c r="U15" s="675">
        <f>('Kalkulation Herstellungskosten'!C48+'Kalkulation Herstellungskosten'!C49)*U_Bahn</f>
        <v>0</v>
      </c>
      <c r="V15" s="667">
        <f t="shared" si="16"/>
        <v>0</v>
      </c>
      <c r="W15" s="667">
        <f t="shared" si="19"/>
        <v>0</v>
      </c>
      <c r="X15" s="666"/>
      <c r="Y15" s="689"/>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row>
    <row r="16" spans="1:52" ht="12.75" customHeight="1" x14ac:dyDescent="0.2">
      <c r="A16" s="706" t="str">
        <f>'Kalkulation Herstellungskosten'!B50</f>
        <v>Kamera</v>
      </c>
      <c r="B16" s="694"/>
      <c r="C16" s="87"/>
      <c r="D16" s="87"/>
      <c r="E16" s="704">
        <f t="shared" si="17"/>
        <v>0</v>
      </c>
      <c r="F16" s="88"/>
      <c r="G16" s="702">
        <f t="shared" si="18"/>
        <v>0</v>
      </c>
      <c r="H16" s="699"/>
      <c r="I16" s="674">
        <f>'Kalkulation Herstellungskosten'!G50/((1+1/6)*1.1041)</f>
        <v>0</v>
      </c>
      <c r="J16" s="675">
        <f t="shared" si="7"/>
        <v>0</v>
      </c>
      <c r="K16" s="675">
        <f t="shared" si="8"/>
        <v>0</v>
      </c>
      <c r="L16" s="667">
        <f t="shared" si="9"/>
        <v>0</v>
      </c>
      <c r="M16" s="675">
        <f>IF(AND('Kalkulation Herstellungskosten'!C50=0,'Kalkulation Herstellungskosten'!C51=0),0,IF(I16/('Kalkulation Herstellungskosten'!C50+'Kalkulation Herstellungskosten'!C51)&gt;SVGrund_lfd_wö,('Kalkulation Herstellungskosten'!C50+'Kalkulation Herstellungskosten'!C51)*Höchst_Woche,I16*SV_lfd))</f>
        <v>0</v>
      </c>
      <c r="N16" s="675">
        <f t="shared" si="10"/>
        <v>0</v>
      </c>
      <c r="O16" s="675">
        <f>IF(I16*10.41%&gt;(0.5833*('Kalkulation Herstellungskosten'!C51+'Kalkulation Herstellungskosten'!C50)*SVGrund_lfd_tä),(0.5833*('Kalkulation Herstellungskosten'!C51+'Kalkulation Herstellungskosten'!C50)*Höchst_Tag),I16*10.41%*SV_lfd)</f>
        <v>0</v>
      </c>
      <c r="P16" s="675">
        <f t="shared" si="11"/>
        <v>0</v>
      </c>
      <c r="Q16" s="675">
        <f t="shared" si="12"/>
        <v>0</v>
      </c>
      <c r="R16" s="675">
        <f t="shared" si="13"/>
        <v>0</v>
      </c>
      <c r="S16" s="675">
        <f t="shared" si="14"/>
        <v>0</v>
      </c>
      <c r="T16" s="675">
        <f t="shared" si="15"/>
        <v>0</v>
      </c>
      <c r="U16" s="675">
        <f>('Kalkulation Herstellungskosten'!C50+'Kalkulation Herstellungskosten'!C51)*U_Bahn</f>
        <v>0</v>
      </c>
      <c r="V16" s="667">
        <f t="shared" si="16"/>
        <v>0</v>
      </c>
      <c r="W16" s="667">
        <f t="shared" si="19"/>
        <v>0</v>
      </c>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AX16" s="666"/>
      <c r="AY16" s="666"/>
      <c r="AZ16" s="666"/>
    </row>
    <row r="17" spans="1:52" ht="12.75" customHeight="1" x14ac:dyDescent="0.2">
      <c r="A17" s="706" t="str">
        <f>'Kalkulation Herstellungskosten'!B52</f>
        <v>1. Kameraassistenz</v>
      </c>
      <c r="B17" s="694"/>
      <c r="C17" s="87"/>
      <c r="D17" s="87"/>
      <c r="E17" s="704">
        <f t="shared" si="17"/>
        <v>0</v>
      </c>
      <c r="F17" s="88"/>
      <c r="G17" s="702">
        <f t="shared" si="18"/>
        <v>0</v>
      </c>
      <c r="H17" s="699"/>
      <c r="I17" s="674">
        <f>'Kalkulation Herstellungskosten'!G52/((1+1/6)*1.1041)</f>
        <v>0</v>
      </c>
      <c r="J17" s="675">
        <f t="shared" si="7"/>
        <v>0</v>
      </c>
      <c r="K17" s="675">
        <f t="shared" si="8"/>
        <v>0</v>
      </c>
      <c r="L17" s="667">
        <f t="shared" si="9"/>
        <v>0</v>
      </c>
      <c r="M17" s="675">
        <f>IF(AND('Kalkulation Herstellungskosten'!C52=0,'Kalkulation Herstellungskosten'!C53=0),0,IF(I17/('Kalkulation Herstellungskosten'!C52+'Kalkulation Herstellungskosten'!C53)&gt;SVGrund_lfd_wö,('Kalkulation Herstellungskosten'!C52+'Kalkulation Herstellungskosten'!C53)*Höchst_Woche,I17*SV_lfd))</f>
        <v>0</v>
      </c>
      <c r="N17" s="675">
        <f t="shared" ref="N17:N56" si="31">IF(J17&gt;SVGrund_SZ, Höchst_Mo_SZ,J17*SV_SZ)</f>
        <v>0</v>
      </c>
      <c r="O17" s="675">
        <f>IF(I17*10.41%&gt;(0.5833*('Kalkulation Herstellungskosten'!C53+'Kalkulation Herstellungskosten'!C52)*SVGrund_lfd_tä),(0.5833*('Kalkulation Herstellungskosten'!C53+'Kalkulation Herstellungskosten'!C52)*Höchst_Tag),I17*10.41%*SV_lfd)</f>
        <v>0</v>
      </c>
      <c r="P17" s="675">
        <f t="shared" ref="P17:P43" si="32">IF(J17&gt;SVGrund_SZ,0,IF(J17*10.41%&gt;(SVGrund_SZ-J17),(SVGrund_SZ-J17)*SV_SZ,J17*10.41%*SV_SZ))</f>
        <v>0</v>
      </c>
      <c r="Q17" s="675">
        <f t="shared" si="12"/>
        <v>0</v>
      </c>
      <c r="R17" s="675">
        <f t="shared" si="13"/>
        <v>0</v>
      </c>
      <c r="S17" s="675">
        <f t="shared" si="14"/>
        <v>0</v>
      </c>
      <c r="T17" s="675">
        <f t="shared" si="15"/>
        <v>0</v>
      </c>
      <c r="U17" s="675">
        <f>('Kalkulation Herstellungskosten'!C52+'Kalkulation Herstellungskosten'!C53)*U_Bahn</f>
        <v>0</v>
      </c>
      <c r="V17" s="667">
        <f t="shared" ref="V17:V56" si="33">SUM(M17:U17)</f>
        <v>0</v>
      </c>
      <c r="W17" s="667">
        <f t="shared" ref="W17:W43" si="34">SUM(L17,V17)</f>
        <v>0</v>
      </c>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6"/>
      <c r="AZ17" s="666"/>
    </row>
    <row r="18" spans="1:52" ht="12.75" customHeight="1" x14ac:dyDescent="0.2">
      <c r="A18" s="706" t="str">
        <f>'Kalkulation Herstellungskosten'!B54</f>
        <v>2. Kameraassistenz</v>
      </c>
      <c r="B18" s="694"/>
      <c r="C18" s="87"/>
      <c r="D18" s="87"/>
      <c r="E18" s="704">
        <f t="shared" si="17"/>
        <v>0</v>
      </c>
      <c r="F18" s="88"/>
      <c r="G18" s="702">
        <f t="shared" si="18"/>
        <v>0</v>
      </c>
      <c r="H18" s="699"/>
      <c r="I18" s="674">
        <f>'Kalkulation Herstellungskosten'!G54/((1+1/6)*1.1041)</f>
        <v>0</v>
      </c>
      <c r="J18" s="675">
        <f t="shared" si="7"/>
        <v>0</v>
      </c>
      <c r="K18" s="675">
        <f t="shared" si="8"/>
        <v>0</v>
      </c>
      <c r="L18" s="667">
        <f t="shared" si="9"/>
        <v>0</v>
      </c>
      <c r="M18" s="675">
        <f>IF(AND('Kalkulation Herstellungskosten'!C54=0,'Kalkulation Herstellungskosten'!C55=0),0,IF(I18/('Kalkulation Herstellungskosten'!C54+'Kalkulation Herstellungskosten'!C55)&gt;SVGrund_lfd_wö,('Kalkulation Herstellungskosten'!C54+'Kalkulation Herstellungskosten'!C55)*Höchst_Woche,I18*SV_lfd))</f>
        <v>0</v>
      </c>
      <c r="N18" s="675">
        <f t="shared" si="31"/>
        <v>0</v>
      </c>
      <c r="O18" s="675">
        <f>IF(I18*10.41%&gt;(0.5833*('Kalkulation Herstellungskosten'!C55+'Kalkulation Herstellungskosten'!C54)*SVGrund_lfd_tä),(0.5833*('Kalkulation Herstellungskosten'!C55+'Kalkulation Herstellungskosten'!C54)*Höchst_Tag),I18*10.41%*SV_lfd)</f>
        <v>0</v>
      </c>
      <c r="P18" s="675">
        <f t="shared" si="32"/>
        <v>0</v>
      </c>
      <c r="Q18" s="675">
        <f t="shared" si="12"/>
        <v>0</v>
      </c>
      <c r="R18" s="675">
        <f t="shared" si="13"/>
        <v>0</v>
      </c>
      <c r="S18" s="675">
        <f t="shared" si="14"/>
        <v>0</v>
      </c>
      <c r="T18" s="675">
        <f t="shared" si="15"/>
        <v>0</v>
      </c>
      <c r="U18" s="675">
        <f>('Kalkulation Herstellungskosten'!C54+'Kalkulation Herstellungskosten'!C55)*U_Bahn</f>
        <v>0</v>
      </c>
      <c r="V18" s="667">
        <f t="shared" si="33"/>
        <v>0</v>
      </c>
      <c r="W18" s="667">
        <f t="shared" si="34"/>
        <v>0</v>
      </c>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6"/>
      <c r="AZ18" s="666"/>
    </row>
    <row r="19" spans="1:52" ht="12.75" customHeight="1" x14ac:dyDescent="0.2">
      <c r="A19" s="706" t="str">
        <f>'Kalkulation Herstellungskosten'!B56</f>
        <v>Kamera im Verbund, Schwenker*in</v>
      </c>
      <c r="B19" s="694"/>
      <c r="C19" s="87"/>
      <c r="D19" s="87"/>
      <c r="E19" s="704">
        <f t="shared" si="17"/>
        <v>0</v>
      </c>
      <c r="F19" s="88"/>
      <c r="G19" s="702">
        <f t="shared" si="18"/>
        <v>0</v>
      </c>
      <c r="H19" s="699"/>
      <c r="I19" s="674">
        <f>'Kalkulation Herstellungskosten'!G56/((1+1/6)*1.1041)</f>
        <v>0</v>
      </c>
      <c r="J19" s="675">
        <f t="shared" si="7"/>
        <v>0</v>
      </c>
      <c r="K19" s="675">
        <f t="shared" si="8"/>
        <v>0</v>
      </c>
      <c r="L19" s="667">
        <f t="shared" si="9"/>
        <v>0</v>
      </c>
      <c r="M19" s="675">
        <f>IF(AND('Kalkulation Herstellungskosten'!C56=0,'Kalkulation Herstellungskosten'!C57=0),0,IF(I19/('Kalkulation Herstellungskosten'!C56+'Kalkulation Herstellungskosten'!C57)&gt;SVGrund_lfd_wö,('Kalkulation Herstellungskosten'!C56+'Kalkulation Herstellungskosten'!C57)*Höchst_Woche,I19*SV_lfd))</f>
        <v>0</v>
      </c>
      <c r="N19" s="675">
        <f t="shared" si="31"/>
        <v>0</v>
      </c>
      <c r="O19" s="675">
        <f>IF(I19*10.41%&gt;(0.5833*('Kalkulation Herstellungskosten'!C57+'Kalkulation Herstellungskosten'!C56)*SVGrund_lfd_tä),(0.5833*('Kalkulation Herstellungskosten'!C57+'Kalkulation Herstellungskosten'!C56)*Höchst_Tag),I19*10.41%*SV_lfd)</f>
        <v>0</v>
      </c>
      <c r="P19" s="675">
        <f t="shared" si="32"/>
        <v>0</v>
      </c>
      <c r="Q19" s="675">
        <f t="shared" si="12"/>
        <v>0</v>
      </c>
      <c r="R19" s="675">
        <f t="shared" si="13"/>
        <v>0</v>
      </c>
      <c r="S19" s="675">
        <f t="shared" si="14"/>
        <v>0</v>
      </c>
      <c r="T19" s="675">
        <f t="shared" si="15"/>
        <v>0</v>
      </c>
      <c r="U19" s="675">
        <f>('Kalkulation Herstellungskosten'!C56+'Kalkulation Herstellungskosten'!C57)*U_Bahn</f>
        <v>0</v>
      </c>
      <c r="V19" s="667">
        <f t="shared" si="33"/>
        <v>0</v>
      </c>
      <c r="W19" s="667">
        <f t="shared" si="34"/>
        <v>0</v>
      </c>
      <c r="X19" s="666"/>
      <c r="Y19" s="666"/>
      <c r="Z19" s="666"/>
      <c r="AA19" s="666"/>
      <c r="AB19" s="666"/>
      <c r="AC19" s="666"/>
      <c r="AD19" s="666"/>
      <c r="AE19" s="666"/>
      <c r="AF19" s="666"/>
      <c r="AG19" s="666"/>
      <c r="AH19" s="666"/>
      <c r="AI19" s="666"/>
      <c r="AJ19" s="666"/>
      <c r="AK19" s="666"/>
      <c r="AL19" s="666"/>
      <c r="AM19" s="666"/>
      <c r="AN19" s="666"/>
      <c r="AO19" s="666"/>
      <c r="AP19" s="666"/>
      <c r="AQ19" s="666"/>
      <c r="AR19" s="666"/>
      <c r="AS19" s="666"/>
      <c r="AT19" s="666"/>
      <c r="AU19" s="666"/>
      <c r="AV19" s="666"/>
      <c r="AW19" s="666"/>
      <c r="AX19" s="666"/>
      <c r="AY19" s="666"/>
      <c r="AZ19" s="666"/>
    </row>
    <row r="20" spans="1:52" ht="12.75" customHeight="1" x14ac:dyDescent="0.2">
      <c r="A20" s="706" t="str">
        <f>'Kalkulation Herstellungskosten'!B58</f>
        <v>Videotechnik</v>
      </c>
      <c r="B20" s="694"/>
      <c r="C20" s="87"/>
      <c r="D20" s="87"/>
      <c r="E20" s="704">
        <f t="shared" si="17"/>
        <v>0</v>
      </c>
      <c r="F20" s="88"/>
      <c r="G20" s="702">
        <f t="shared" si="18"/>
        <v>0</v>
      </c>
      <c r="H20" s="699"/>
      <c r="I20" s="674">
        <f>'Kalkulation Herstellungskosten'!G58/((1+1/6)*1.1041)</f>
        <v>0</v>
      </c>
      <c r="J20" s="675">
        <f t="shared" si="7"/>
        <v>0</v>
      </c>
      <c r="K20" s="675">
        <f t="shared" si="8"/>
        <v>0</v>
      </c>
      <c r="L20" s="667">
        <f t="shared" si="9"/>
        <v>0</v>
      </c>
      <c r="M20" s="675">
        <f>IF(AND('Kalkulation Herstellungskosten'!C58=0,'Kalkulation Herstellungskosten'!C59=0),0,IF(I20/('Kalkulation Herstellungskosten'!C58+'Kalkulation Herstellungskosten'!C59)&gt;SVGrund_lfd_wö,('Kalkulation Herstellungskosten'!C58+'Kalkulation Herstellungskosten'!C59)*Höchst_Woche,I20*SV_lfd))</f>
        <v>0</v>
      </c>
      <c r="N20" s="675">
        <f t="shared" si="31"/>
        <v>0</v>
      </c>
      <c r="O20" s="675">
        <f>IF(I20*10.41%&gt;(0.5833*('Kalkulation Herstellungskosten'!C59+'Kalkulation Herstellungskosten'!C58)*SVGrund_lfd_tä),(0.5833*('Kalkulation Herstellungskosten'!C59+'Kalkulation Herstellungskosten'!C58)*Höchst_Tag),I20*10.41%*SV_lfd)</f>
        <v>0</v>
      </c>
      <c r="P20" s="675">
        <f t="shared" si="32"/>
        <v>0</v>
      </c>
      <c r="Q20" s="675">
        <f t="shared" si="12"/>
        <v>0</v>
      </c>
      <c r="R20" s="675">
        <f t="shared" si="13"/>
        <v>0</v>
      </c>
      <c r="S20" s="675">
        <f t="shared" si="14"/>
        <v>0</v>
      </c>
      <c r="T20" s="675">
        <f t="shared" si="15"/>
        <v>0</v>
      </c>
      <c r="U20" s="675">
        <f>('Kalkulation Herstellungskosten'!C58+'Kalkulation Herstellungskosten'!C59)*U_Bahn</f>
        <v>0</v>
      </c>
      <c r="V20" s="667">
        <f t="shared" si="33"/>
        <v>0</v>
      </c>
      <c r="W20" s="667">
        <f t="shared" si="34"/>
        <v>0</v>
      </c>
      <c r="X20" s="666"/>
      <c r="Y20" s="666"/>
      <c r="Z20" s="666"/>
      <c r="AA20" s="666"/>
      <c r="AB20" s="666"/>
      <c r="AC20" s="666"/>
      <c r="AD20" s="666"/>
      <c r="AE20" s="666"/>
      <c r="AF20" s="666"/>
      <c r="AG20" s="666"/>
      <c r="AH20" s="666"/>
      <c r="AI20" s="666"/>
      <c r="AJ20" s="666"/>
      <c r="AK20" s="666"/>
      <c r="AL20" s="666"/>
      <c r="AM20" s="666"/>
      <c r="AN20" s="666"/>
      <c r="AO20" s="666"/>
      <c r="AP20" s="666"/>
      <c r="AQ20" s="666"/>
      <c r="AR20" s="666"/>
      <c r="AS20" s="666"/>
      <c r="AT20" s="666"/>
      <c r="AU20" s="666"/>
      <c r="AV20" s="666"/>
      <c r="AW20" s="666"/>
      <c r="AX20" s="666"/>
      <c r="AY20" s="666"/>
      <c r="AZ20" s="666"/>
    </row>
    <row r="21" spans="1:52" ht="12.75" customHeight="1" x14ac:dyDescent="0.2">
      <c r="A21" s="706" t="str">
        <f>'Kalkulation Herstellungskosten'!B60</f>
        <v>Digital Image Technician (DIT)</v>
      </c>
      <c r="B21" s="694"/>
      <c r="C21" s="87"/>
      <c r="D21" s="87"/>
      <c r="E21" s="704"/>
      <c r="F21" s="88"/>
      <c r="G21" s="702"/>
      <c r="H21" s="699"/>
      <c r="I21" s="674">
        <f>'Kalkulation Herstellungskosten'!G60/((1+1/6)*1.1041)</f>
        <v>0</v>
      </c>
      <c r="J21" s="675">
        <f t="shared" ref="J21" si="35">I21/6</f>
        <v>0</v>
      </c>
      <c r="K21" s="675">
        <f t="shared" ref="K21" si="36">(I21+J21)*10.41%</f>
        <v>0</v>
      </c>
      <c r="L21" s="667">
        <f t="shared" ref="L21" si="37">SUM(I21:K21)</f>
        <v>0</v>
      </c>
      <c r="M21" s="675">
        <f>IF(AND('Kalkulation Herstellungskosten'!C60=0,'Kalkulation Herstellungskosten'!C61=0),0,IF(I21/('Kalkulation Herstellungskosten'!C60+'Kalkulation Herstellungskosten'!C61)&gt;SVGrund_lfd_wö,('Kalkulation Herstellungskosten'!C60+'Kalkulation Herstellungskosten'!C61)*Höchst_Woche,I21*SV_lfd))</f>
        <v>0</v>
      </c>
      <c r="N21" s="675">
        <f t="shared" ref="N21" si="38">IF(J21&gt;SVGrund_SZ, Höchst_Mo_SZ,J21*SV_SZ)</f>
        <v>0</v>
      </c>
      <c r="O21" s="675">
        <f>IF(I21*10.41%&gt;(0.5833*('Kalkulation Herstellungskosten'!C60+'Kalkulation Herstellungskosten'!C61)*SVGrund_lfd_tä),(0.5833*('Kalkulation Herstellungskosten'!C60+'Kalkulation Herstellungskosten'!C61)*Höchst_Tag),I21*10.41%*SV_lfd)</f>
        <v>0</v>
      </c>
      <c r="P21" s="675">
        <f t="shared" ref="P21" si="39">IF(J21&gt;SVGrund_SZ,0,IF(J21*10.41%&gt;(SVGrund_SZ-J21),(SVGrund_SZ-J21)*SV_SZ,J21*10.41%*SV_SZ))</f>
        <v>0</v>
      </c>
      <c r="Q21" s="675">
        <f t="shared" ref="Q21" si="40">L21*MV</f>
        <v>0</v>
      </c>
      <c r="R21" s="675">
        <f t="shared" ref="R21" si="41">L21*DB</f>
        <v>0</v>
      </c>
      <c r="S21" s="675">
        <f t="shared" ref="S21" si="42">L21*DZ</f>
        <v>0</v>
      </c>
      <c r="T21" s="675">
        <f t="shared" ref="T21" si="43">L21*KommSt</f>
        <v>0</v>
      </c>
      <c r="U21" s="675">
        <f>('Kalkulation Herstellungskosten'!C61+'Kalkulation Herstellungskosten'!C60)*U_Bahn</f>
        <v>0</v>
      </c>
      <c r="V21" s="667">
        <f t="shared" ref="V21" si="44">SUM(M21:U21)</f>
        <v>0</v>
      </c>
      <c r="W21" s="667">
        <f t="shared" ref="W21" si="45">SUM(L21,V21)</f>
        <v>0</v>
      </c>
      <c r="X21" s="666"/>
      <c r="Y21" s="666"/>
      <c r="Z21" s="666"/>
      <c r="AA21" s="666"/>
      <c r="AB21" s="666"/>
      <c r="AC21" s="666"/>
      <c r="AD21" s="666"/>
      <c r="AE21" s="666"/>
      <c r="AF21" s="666"/>
      <c r="AG21" s="666"/>
      <c r="AH21" s="666"/>
      <c r="AI21" s="666"/>
      <c r="AJ21" s="666"/>
      <c r="AK21" s="666"/>
      <c r="AL21" s="666"/>
      <c r="AM21" s="666"/>
      <c r="AN21" s="666"/>
      <c r="AO21" s="666"/>
      <c r="AP21" s="666"/>
      <c r="AQ21" s="666"/>
      <c r="AR21" s="666"/>
      <c r="AS21" s="666"/>
      <c r="AT21" s="666"/>
      <c r="AU21" s="666"/>
      <c r="AV21" s="666"/>
      <c r="AW21" s="666"/>
      <c r="AX21" s="666"/>
      <c r="AY21" s="666"/>
      <c r="AZ21" s="666"/>
    </row>
    <row r="22" spans="1:52" ht="12.75" customHeight="1" x14ac:dyDescent="0.2">
      <c r="A22" s="706" t="str">
        <f>'Kalkulation Herstellungskosten'!B62</f>
        <v>Data Wrangler</v>
      </c>
      <c r="B22" s="694"/>
      <c r="C22" s="87"/>
      <c r="D22" s="87"/>
      <c r="E22" s="704"/>
      <c r="F22" s="88"/>
      <c r="G22" s="702"/>
      <c r="H22" s="699"/>
      <c r="I22" s="674">
        <f>'Kalkulation Herstellungskosten'!G62/((1+1/6)*1.1041)</f>
        <v>0</v>
      </c>
      <c r="J22" s="675">
        <f t="shared" ref="J22" si="46">I22/6</f>
        <v>0</v>
      </c>
      <c r="K22" s="675">
        <f t="shared" ref="K22" si="47">(I22+J22)*10.41%</f>
        <v>0</v>
      </c>
      <c r="L22" s="667">
        <f t="shared" ref="L22" si="48">SUM(I22:K22)</f>
        <v>0</v>
      </c>
      <c r="M22" s="675">
        <f>IF(AND('Kalkulation Herstellungskosten'!C62=0,'Kalkulation Herstellungskosten'!C63=0),0,IF(I22/('Kalkulation Herstellungskosten'!C62+'Kalkulation Herstellungskosten'!C63)&gt;SVGrund_lfd_wö,('Kalkulation Herstellungskosten'!C62+'Kalkulation Herstellungskosten'!C63)*Höchst_Woche,I22*SV_lfd))</f>
        <v>0</v>
      </c>
      <c r="N22" s="675">
        <f t="shared" ref="N22" si="49">IF(J22&gt;SVGrund_SZ, Höchst_Mo_SZ,J22*SV_SZ)</f>
        <v>0</v>
      </c>
      <c r="O22" s="675">
        <f>IF(I22*10.41%&gt;(0.5833*('Kalkulation Herstellungskosten'!C62+'Kalkulation Herstellungskosten'!C63)*SVGrund_lfd_tä),(0.5833*('Kalkulation Herstellungskosten'!C62+'Kalkulation Herstellungskosten'!C63)*Höchst_Tag),I22*10.41%*SV_lfd)</f>
        <v>0</v>
      </c>
      <c r="P22" s="675">
        <f t="shared" ref="P22" si="50">IF(J22&gt;SVGrund_SZ,0,IF(J22*10.41%&gt;(SVGrund_SZ-J22),(SVGrund_SZ-J22)*SV_SZ,J22*10.41%*SV_SZ))</f>
        <v>0</v>
      </c>
      <c r="Q22" s="675">
        <f t="shared" ref="Q22" si="51">L22*MV</f>
        <v>0</v>
      </c>
      <c r="R22" s="675">
        <f t="shared" ref="R22" si="52">L22*DB</f>
        <v>0</v>
      </c>
      <c r="S22" s="675">
        <f t="shared" ref="S22" si="53">L22*DZ</f>
        <v>0</v>
      </c>
      <c r="T22" s="675">
        <f t="shared" ref="T22" si="54">L22*KommSt</f>
        <v>0</v>
      </c>
      <c r="U22" s="675">
        <f>('Kalkulation Herstellungskosten'!C63+'Kalkulation Herstellungskosten'!C62)*U_Bahn</f>
        <v>0</v>
      </c>
      <c r="V22" s="667">
        <f t="shared" ref="V22" si="55">SUM(M22:U22)</f>
        <v>0</v>
      </c>
      <c r="W22" s="667">
        <f t="shared" ref="W22" si="56">SUM(L22,V22)</f>
        <v>0</v>
      </c>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row>
    <row r="23" spans="1:52" ht="12.75" customHeight="1" x14ac:dyDescent="0.2">
      <c r="A23" s="706" t="str">
        <f>'Kalkulation Herstellungskosten'!B64</f>
        <v>Ton I              Ton II</v>
      </c>
      <c r="B23" s="694"/>
      <c r="C23" s="87"/>
      <c r="D23" s="87"/>
      <c r="E23" s="704">
        <f t="shared" si="17"/>
        <v>0</v>
      </c>
      <c r="F23" s="88"/>
      <c r="G23" s="702">
        <f t="shared" si="18"/>
        <v>0</v>
      </c>
      <c r="H23" s="699"/>
      <c r="I23" s="674">
        <f>'Kalkulation Herstellungskosten'!G64/((1+1/6)*1.1041)</f>
        <v>0</v>
      </c>
      <c r="J23" s="675">
        <f t="shared" si="7"/>
        <v>0</v>
      </c>
      <c r="K23" s="675">
        <f t="shared" si="8"/>
        <v>0</v>
      </c>
      <c r="L23" s="667">
        <f t="shared" si="9"/>
        <v>0</v>
      </c>
      <c r="M23" s="675">
        <f>IF(AND('Kalkulation Herstellungskosten'!C64=0,'Kalkulation Herstellungskosten'!C65=0),0,IF(I23/('Kalkulation Herstellungskosten'!C64+'Kalkulation Herstellungskosten'!C65)&gt;SVGrund_lfd_wö,('Kalkulation Herstellungskosten'!C64+'Kalkulation Herstellungskosten'!C65)*Höchst_Woche,I23*SV_lfd))</f>
        <v>0</v>
      </c>
      <c r="N23" s="675">
        <f t="shared" si="31"/>
        <v>0</v>
      </c>
      <c r="O23" s="675">
        <f>IF(I23*10.41%&gt;(0.5833*('Kalkulation Herstellungskosten'!C65+'Kalkulation Herstellungskosten'!C64)*SVGrund_lfd_tä),(0.5833*('Kalkulation Herstellungskosten'!C65+'Kalkulation Herstellungskosten'!C64)*Höchst_Tag),I23*10.41%*SV_lfd)</f>
        <v>0</v>
      </c>
      <c r="P23" s="675">
        <f t="shared" si="32"/>
        <v>0</v>
      </c>
      <c r="Q23" s="675">
        <f t="shared" si="12"/>
        <v>0</v>
      </c>
      <c r="R23" s="675">
        <f t="shared" si="13"/>
        <v>0</v>
      </c>
      <c r="S23" s="675">
        <f t="shared" si="14"/>
        <v>0</v>
      </c>
      <c r="T23" s="675">
        <f t="shared" si="15"/>
        <v>0</v>
      </c>
      <c r="U23" s="675">
        <f>('Kalkulation Herstellungskosten'!C64+'Kalkulation Herstellungskosten'!C65)*U_Bahn</f>
        <v>0</v>
      </c>
      <c r="V23" s="667">
        <f t="shared" si="33"/>
        <v>0</v>
      </c>
      <c r="W23" s="667">
        <f t="shared" si="34"/>
        <v>0</v>
      </c>
      <c r="X23" s="666"/>
      <c r="Y23" s="666"/>
      <c r="Z23" s="666"/>
      <c r="AA23" s="666"/>
      <c r="AB23" s="666"/>
      <c r="AC23" s="666"/>
      <c r="AD23" s="666"/>
      <c r="AE23" s="666"/>
      <c r="AF23" s="666"/>
      <c r="AG23" s="666"/>
      <c r="AH23" s="666"/>
      <c r="AI23" s="666"/>
      <c r="AJ23" s="666"/>
      <c r="AK23" s="666"/>
      <c r="AL23" s="666"/>
      <c r="AM23" s="666"/>
      <c r="AN23" s="666"/>
      <c r="AO23" s="666"/>
      <c r="AP23" s="666"/>
      <c r="AQ23" s="666"/>
      <c r="AR23" s="666"/>
      <c r="AS23" s="666"/>
      <c r="AT23" s="666"/>
      <c r="AU23" s="666"/>
      <c r="AV23" s="666"/>
      <c r="AW23" s="666"/>
      <c r="AX23" s="666"/>
      <c r="AY23" s="666"/>
      <c r="AZ23" s="666"/>
    </row>
    <row r="24" spans="1:52" ht="12.75" customHeight="1" x14ac:dyDescent="0.2">
      <c r="A24" s="706" t="str">
        <f>'Kalkulation Herstellungskosten'!B66</f>
        <v>Tonassistenz</v>
      </c>
      <c r="B24" s="694"/>
      <c r="C24" s="87"/>
      <c r="D24" s="87"/>
      <c r="E24" s="704">
        <f t="shared" si="17"/>
        <v>0</v>
      </c>
      <c r="F24" s="88"/>
      <c r="G24" s="702">
        <f t="shared" si="18"/>
        <v>0</v>
      </c>
      <c r="H24" s="699"/>
      <c r="I24" s="674">
        <f>'Kalkulation Herstellungskosten'!G66/((1+1/6)*1.1041)</f>
        <v>0</v>
      </c>
      <c r="J24" s="675">
        <f t="shared" si="7"/>
        <v>0</v>
      </c>
      <c r="K24" s="675">
        <f t="shared" si="8"/>
        <v>0</v>
      </c>
      <c r="L24" s="667">
        <f t="shared" si="9"/>
        <v>0</v>
      </c>
      <c r="M24" s="675">
        <f>IF(AND('Kalkulation Herstellungskosten'!C66=0,'Kalkulation Herstellungskosten'!C67=0),0,IF(I24/('Kalkulation Herstellungskosten'!C66+'Kalkulation Herstellungskosten'!C67)&gt;SVGrund_lfd_wö,('Kalkulation Herstellungskosten'!C66+'Kalkulation Herstellungskosten'!C67)*Höchst_Woche,I24*SV_lfd))</f>
        <v>0</v>
      </c>
      <c r="N24" s="675">
        <f t="shared" si="31"/>
        <v>0</v>
      </c>
      <c r="O24" s="675">
        <f>IF(I24*10.41%&gt;(0.5833*('Kalkulation Herstellungskosten'!C67+'Kalkulation Herstellungskosten'!C66)*SVGrund_lfd_tä),(0.5833*('Kalkulation Herstellungskosten'!C67+'Kalkulation Herstellungskosten'!C66)*Höchst_Tag),I24*10.41%*SV_lfd)</f>
        <v>0</v>
      </c>
      <c r="P24" s="675">
        <f t="shared" si="32"/>
        <v>0</v>
      </c>
      <c r="Q24" s="675">
        <f t="shared" si="12"/>
        <v>0</v>
      </c>
      <c r="R24" s="675">
        <f t="shared" si="13"/>
        <v>0</v>
      </c>
      <c r="S24" s="675">
        <f t="shared" si="14"/>
        <v>0</v>
      </c>
      <c r="T24" s="675">
        <f t="shared" si="15"/>
        <v>0</v>
      </c>
      <c r="U24" s="675">
        <f>('Kalkulation Herstellungskosten'!C66+'Kalkulation Herstellungskosten'!C67)*U_Bahn</f>
        <v>0</v>
      </c>
      <c r="V24" s="667">
        <f t="shared" si="33"/>
        <v>0</v>
      </c>
      <c r="W24" s="667">
        <f t="shared" si="34"/>
        <v>0</v>
      </c>
      <c r="X24" s="666"/>
      <c r="Y24" s="666"/>
      <c r="Z24" s="666"/>
      <c r="AA24" s="666"/>
      <c r="AB24" s="666"/>
      <c r="AC24" s="666"/>
      <c r="AD24" s="666"/>
      <c r="AE24" s="666"/>
      <c r="AF24" s="666"/>
      <c r="AG24" s="666"/>
      <c r="AH24" s="666"/>
      <c r="AI24" s="666"/>
      <c r="AJ24" s="666"/>
      <c r="AK24" s="666"/>
      <c r="AL24" s="666"/>
      <c r="AM24" s="666"/>
      <c r="AN24" s="666"/>
      <c r="AO24" s="666"/>
      <c r="AP24" s="666"/>
      <c r="AQ24" s="666"/>
      <c r="AR24" s="666"/>
      <c r="AS24" s="666"/>
      <c r="AT24" s="666"/>
      <c r="AU24" s="666"/>
      <c r="AV24" s="666"/>
      <c r="AW24" s="666"/>
      <c r="AX24" s="666"/>
      <c r="AY24" s="666"/>
      <c r="AZ24" s="666"/>
    </row>
    <row r="25" spans="1:52" ht="12.75" customHeight="1" x14ac:dyDescent="0.2">
      <c r="A25" s="706" t="str">
        <f>'Kalkulation Herstellungskosten'!B68</f>
        <v>Primärtontechnik</v>
      </c>
      <c r="B25" s="694"/>
      <c r="C25" s="87"/>
      <c r="D25" s="87"/>
      <c r="E25" s="704">
        <f t="shared" si="17"/>
        <v>0</v>
      </c>
      <c r="F25" s="88"/>
      <c r="G25" s="702">
        <f t="shared" si="18"/>
        <v>0</v>
      </c>
      <c r="H25" s="699"/>
      <c r="I25" s="674">
        <f>'Kalkulation Herstellungskosten'!G68/((1+1/6)*1.1041)</f>
        <v>0</v>
      </c>
      <c r="J25" s="675">
        <f t="shared" si="7"/>
        <v>0</v>
      </c>
      <c r="K25" s="675">
        <f t="shared" si="8"/>
        <v>0</v>
      </c>
      <c r="L25" s="667">
        <f t="shared" si="9"/>
        <v>0</v>
      </c>
      <c r="M25" s="675">
        <f>IF(AND('Kalkulation Herstellungskosten'!C68=0,'Kalkulation Herstellungskosten'!C69=0),0,IF(I25/('Kalkulation Herstellungskosten'!C68+'Kalkulation Herstellungskosten'!C69)&gt;SVGrund_lfd_wö,('Kalkulation Herstellungskosten'!C68+'Kalkulation Herstellungskosten'!C69)*Höchst_Woche,I25*SV_lfd))</f>
        <v>0</v>
      </c>
      <c r="N25" s="675">
        <f t="shared" si="31"/>
        <v>0</v>
      </c>
      <c r="O25" s="675">
        <f>IF(I25*10.41%&gt;(0.5833*('Kalkulation Herstellungskosten'!C69+'Kalkulation Herstellungskosten'!C68)*SVGrund_lfd_tä),(0.5833*('Kalkulation Herstellungskosten'!C69+'Kalkulation Herstellungskosten'!C68)*Höchst_Tag),I25*10.41%*SV_lfd)</f>
        <v>0</v>
      </c>
      <c r="P25" s="675">
        <f t="shared" si="32"/>
        <v>0</v>
      </c>
      <c r="Q25" s="675">
        <f t="shared" si="12"/>
        <v>0</v>
      </c>
      <c r="R25" s="675">
        <f t="shared" si="13"/>
        <v>0</v>
      </c>
      <c r="S25" s="675">
        <f t="shared" si="14"/>
        <v>0</v>
      </c>
      <c r="T25" s="675">
        <f t="shared" si="15"/>
        <v>0</v>
      </c>
      <c r="U25" s="675">
        <f>('Kalkulation Herstellungskosten'!C68+'Kalkulation Herstellungskosten'!C69)*U_Bahn</f>
        <v>0</v>
      </c>
      <c r="V25" s="667">
        <f t="shared" si="33"/>
        <v>0</v>
      </c>
      <c r="W25" s="667">
        <f t="shared" si="34"/>
        <v>0</v>
      </c>
      <c r="X25" s="666"/>
      <c r="Y25" s="666"/>
      <c r="Z25" s="666"/>
      <c r="AA25" s="666"/>
      <c r="AB25" s="666"/>
      <c r="AC25" s="666"/>
      <c r="AD25" s="666"/>
      <c r="AE25" s="666"/>
      <c r="AF25" s="666"/>
      <c r="AG25" s="666"/>
      <c r="AH25" s="666"/>
      <c r="AI25" s="666"/>
      <c r="AJ25" s="666"/>
      <c r="AK25" s="666"/>
      <c r="AL25" s="666"/>
      <c r="AM25" s="666"/>
      <c r="AN25" s="666"/>
      <c r="AO25" s="666"/>
      <c r="AP25" s="666"/>
      <c r="AQ25" s="666"/>
      <c r="AR25" s="666"/>
      <c r="AS25" s="666"/>
      <c r="AT25" s="666"/>
      <c r="AU25" s="666"/>
      <c r="AV25" s="666"/>
      <c r="AW25" s="666"/>
      <c r="AX25" s="666"/>
      <c r="AY25" s="666"/>
      <c r="AZ25" s="666"/>
    </row>
    <row r="26" spans="1:52" ht="12.75" customHeight="1" x14ac:dyDescent="0.2">
      <c r="A26" s="706" t="str">
        <f>'Kalkulation Herstellungskosten'!B70</f>
        <v>Schnitt</v>
      </c>
      <c r="B26" s="694"/>
      <c r="C26" s="87"/>
      <c r="D26" s="87"/>
      <c r="E26" s="704">
        <f t="shared" si="17"/>
        <v>0</v>
      </c>
      <c r="F26" s="88"/>
      <c r="G26" s="702">
        <f t="shared" si="18"/>
        <v>0</v>
      </c>
      <c r="H26" s="699"/>
      <c r="I26" s="674">
        <f>'Kalkulation Herstellungskosten'!G70/((1+1/6)*1.1041)</f>
        <v>0</v>
      </c>
      <c r="J26" s="675">
        <f t="shared" si="7"/>
        <v>0</v>
      </c>
      <c r="K26" s="675">
        <f t="shared" si="8"/>
        <v>0</v>
      </c>
      <c r="L26" s="667">
        <f t="shared" si="9"/>
        <v>0</v>
      </c>
      <c r="M26" s="675">
        <f>IF(AND('Kalkulation Herstellungskosten'!C70=0,'Kalkulation Herstellungskosten'!C71=0),0,IF(I26/('Kalkulation Herstellungskosten'!C70+'Kalkulation Herstellungskosten'!C71)&gt;SVGrund_lfd_wö,('Kalkulation Herstellungskosten'!C70+'Kalkulation Herstellungskosten'!C71)*Höchst_Woche,I26*SV_lfd))</f>
        <v>0</v>
      </c>
      <c r="N26" s="675">
        <f t="shared" si="31"/>
        <v>0</v>
      </c>
      <c r="O26" s="675">
        <f>IF(I26*10.41%&gt;(0.5833*('Kalkulation Herstellungskosten'!C71+'Kalkulation Herstellungskosten'!C70)*SVGrund_lfd_tä),(0.5833*('Kalkulation Herstellungskosten'!C71+'Kalkulation Herstellungskosten'!C70)*Höchst_Tag),I26*10.41%*SV_lfd)</f>
        <v>0</v>
      </c>
      <c r="P26" s="675">
        <f t="shared" si="32"/>
        <v>0</v>
      </c>
      <c r="Q26" s="675">
        <f t="shared" si="12"/>
        <v>0</v>
      </c>
      <c r="R26" s="675">
        <f t="shared" si="13"/>
        <v>0</v>
      </c>
      <c r="S26" s="675">
        <f t="shared" si="14"/>
        <v>0</v>
      </c>
      <c r="T26" s="675">
        <f t="shared" si="15"/>
        <v>0</v>
      </c>
      <c r="U26" s="675">
        <f>('Kalkulation Herstellungskosten'!C70+'Kalkulation Herstellungskosten'!C71)*U_Bahn</f>
        <v>0</v>
      </c>
      <c r="V26" s="667">
        <f t="shared" si="33"/>
        <v>0</v>
      </c>
      <c r="W26" s="667">
        <f t="shared" si="34"/>
        <v>0</v>
      </c>
      <c r="X26" s="666"/>
      <c r="Y26" s="666"/>
      <c r="Z26" s="666"/>
      <c r="AA26" s="666"/>
      <c r="AB26" s="666"/>
      <c r="AC26" s="666"/>
      <c r="AD26" s="666"/>
      <c r="AE26" s="666"/>
      <c r="AF26" s="666"/>
      <c r="AG26" s="666"/>
      <c r="AH26" s="666"/>
      <c r="AI26" s="666"/>
      <c r="AJ26" s="666"/>
      <c r="AK26" s="666"/>
      <c r="AL26" s="666"/>
      <c r="AM26" s="666"/>
      <c r="AN26" s="666"/>
      <c r="AO26" s="666"/>
      <c r="AP26" s="666"/>
      <c r="AQ26" s="666"/>
      <c r="AR26" s="666"/>
      <c r="AS26" s="666"/>
      <c r="AT26" s="666"/>
      <c r="AU26" s="666"/>
      <c r="AV26" s="666"/>
      <c r="AW26" s="666"/>
      <c r="AX26" s="666"/>
      <c r="AY26" s="666"/>
      <c r="AZ26" s="666"/>
    </row>
    <row r="27" spans="1:52" ht="12.75" customHeight="1" x14ac:dyDescent="0.2">
      <c r="A27" s="706" t="str">
        <f>'Kalkulation Herstellungskosten'!B72</f>
        <v>Schnittassistenz</v>
      </c>
      <c r="B27" s="694"/>
      <c r="C27" s="87"/>
      <c r="D27" s="87"/>
      <c r="E27" s="704">
        <f t="shared" si="17"/>
        <v>0</v>
      </c>
      <c r="F27" s="88"/>
      <c r="G27" s="702">
        <f t="shared" si="18"/>
        <v>0</v>
      </c>
      <c r="H27" s="699"/>
      <c r="I27" s="674">
        <f>'Kalkulation Herstellungskosten'!G72/((1+1/6)*1.1041)</f>
        <v>0</v>
      </c>
      <c r="J27" s="675">
        <f t="shared" si="7"/>
        <v>0</v>
      </c>
      <c r="K27" s="675">
        <f t="shared" si="8"/>
        <v>0</v>
      </c>
      <c r="L27" s="667">
        <f t="shared" si="9"/>
        <v>0</v>
      </c>
      <c r="M27" s="675">
        <f>IF(AND('Kalkulation Herstellungskosten'!C72=0,'Kalkulation Herstellungskosten'!C73=0),0,IF(I27/('Kalkulation Herstellungskosten'!C72+'Kalkulation Herstellungskosten'!C73)&gt;SVGrund_lfd_wö,('Kalkulation Herstellungskosten'!C72+'Kalkulation Herstellungskosten'!C73)*Höchst_Woche,I27*SV_lfd))</f>
        <v>0</v>
      </c>
      <c r="N27" s="675">
        <f t="shared" si="31"/>
        <v>0</v>
      </c>
      <c r="O27" s="675">
        <f>IF(I27*10.41%&gt;(0.5833*('Kalkulation Herstellungskosten'!C73+'Kalkulation Herstellungskosten'!C72)*SVGrund_lfd_tä),(0.5833*('Kalkulation Herstellungskosten'!C73+'Kalkulation Herstellungskosten'!C72)*Höchst_Tag),I27*10.41%*SV_lfd)</f>
        <v>0</v>
      </c>
      <c r="P27" s="675">
        <f t="shared" si="32"/>
        <v>0</v>
      </c>
      <c r="Q27" s="675">
        <f t="shared" si="12"/>
        <v>0</v>
      </c>
      <c r="R27" s="675">
        <f t="shared" si="13"/>
        <v>0</v>
      </c>
      <c r="S27" s="675">
        <f t="shared" si="14"/>
        <v>0</v>
      </c>
      <c r="T27" s="675">
        <f t="shared" si="15"/>
        <v>0</v>
      </c>
      <c r="U27" s="675">
        <f>('Kalkulation Herstellungskosten'!C72+'Kalkulation Herstellungskosten'!C73)*U_Bahn</f>
        <v>0</v>
      </c>
      <c r="V27" s="667">
        <f t="shared" si="33"/>
        <v>0</v>
      </c>
      <c r="W27" s="667">
        <f t="shared" si="34"/>
        <v>0</v>
      </c>
      <c r="X27" s="666"/>
      <c r="Y27" s="666"/>
      <c r="Z27" s="666"/>
      <c r="AA27" s="666"/>
      <c r="AB27" s="666"/>
      <c r="AC27" s="666"/>
      <c r="AD27" s="666"/>
      <c r="AE27" s="666"/>
      <c r="AF27" s="666"/>
      <c r="AG27" s="666"/>
      <c r="AH27" s="666"/>
      <c r="AI27" s="666"/>
      <c r="AJ27" s="666"/>
      <c r="AK27" s="666"/>
      <c r="AL27" s="666"/>
      <c r="AM27" s="666"/>
      <c r="AN27" s="666"/>
      <c r="AO27" s="666"/>
      <c r="AP27" s="666"/>
      <c r="AQ27" s="666"/>
      <c r="AR27" s="666"/>
      <c r="AS27" s="666"/>
      <c r="AT27" s="666"/>
      <c r="AU27" s="666"/>
      <c r="AV27" s="666"/>
      <c r="AW27" s="666"/>
      <c r="AX27" s="666"/>
      <c r="AY27" s="666"/>
      <c r="AZ27" s="666"/>
    </row>
    <row r="28" spans="1:52" ht="12.75" customHeight="1" x14ac:dyDescent="0.2">
      <c r="A28" s="706" t="str">
        <f>'Kalkulation Herstellungskosten'!B74</f>
        <v>Sound Design</v>
      </c>
      <c r="B28" s="694"/>
      <c r="C28" s="87"/>
      <c r="D28" s="87"/>
      <c r="E28" s="704">
        <f t="shared" si="17"/>
        <v>0</v>
      </c>
      <c r="F28" s="88"/>
      <c r="G28" s="702">
        <f t="shared" si="18"/>
        <v>0</v>
      </c>
      <c r="H28" s="699"/>
      <c r="I28" s="674">
        <f>'Kalkulation Herstellungskosten'!G74/((1+1/6)*1.1041)</f>
        <v>0</v>
      </c>
      <c r="J28" s="675">
        <f t="shared" ref="J28" si="57">I28/6</f>
        <v>0</v>
      </c>
      <c r="K28" s="675">
        <f t="shared" ref="K28" si="58">(I28+J28)*10.41%</f>
        <v>0</v>
      </c>
      <c r="L28" s="667">
        <f t="shared" ref="L28" si="59">SUM(I28:K28)</f>
        <v>0</v>
      </c>
      <c r="M28" s="675">
        <f>IF(AND('Kalkulation Herstellungskosten'!C74=0,'Kalkulation Herstellungskosten'!C75=0),0,IF(I28/('Kalkulation Herstellungskosten'!C74+'Kalkulation Herstellungskosten'!C75)&gt;SVGrund_lfd_wö,('Kalkulation Herstellungskosten'!C74+'Kalkulation Herstellungskosten'!C75)*Höchst_Woche,I28*SV_lfd))</f>
        <v>0</v>
      </c>
      <c r="N28" s="675">
        <f t="shared" ref="N28" si="60">IF(J28&gt;SVGrund_SZ, Höchst_Mo_SZ,J28*SV_SZ)</f>
        <v>0</v>
      </c>
      <c r="O28" s="675">
        <f>IF(I28*10.41%&gt;(0.5833*('Kalkulation Herstellungskosten'!C75+'Kalkulation Herstellungskosten'!C74)*SVGrund_lfd_tä),(0.5833*('Kalkulation Herstellungskosten'!C75+'Kalkulation Herstellungskosten'!C74)*Höchst_Tag),I28*10.41%*SV_lfd)</f>
        <v>0</v>
      </c>
      <c r="P28" s="675">
        <f t="shared" ref="P28" si="61">IF(J28&gt;SVGrund_SZ,0,IF(J28*10.41%&gt;(SVGrund_SZ-J28),(SVGrund_SZ-J28)*SV_SZ,J28*10.41%*SV_SZ))</f>
        <v>0</v>
      </c>
      <c r="Q28" s="675">
        <f t="shared" ref="Q28" si="62">L28*MV</f>
        <v>0</v>
      </c>
      <c r="R28" s="675">
        <f t="shared" ref="R28" si="63">L28*DB</f>
        <v>0</v>
      </c>
      <c r="S28" s="675">
        <f t="shared" ref="S28" si="64">L28*DZ</f>
        <v>0</v>
      </c>
      <c r="T28" s="675">
        <f t="shared" ref="T28" si="65">L28*KommSt</f>
        <v>0</v>
      </c>
      <c r="U28" s="675">
        <f>('Kalkulation Herstellungskosten'!C74+'Kalkulation Herstellungskosten'!C75)*U_Bahn</f>
        <v>0</v>
      </c>
      <c r="V28" s="667">
        <f t="shared" ref="V28" si="66">SUM(M28:U28)</f>
        <v>0</v>
      </c>
      <c r="W28" s="667">
        <f t="shared" ref="W28" si="67">SUM(L28,V28)</f>
        <v>0</v>
      </c>
      <c r="X28" s="666"/>
      <c r="Y28" s="666"/>
      <c r="Z28" s="666"/>
      <c r="AA28" s="666"/>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row>
    <row r="29" spans="1:52" ht="12.75" customHeight="1" x14ac:dyDescent="0.2">
      <c r="A29" s="706" t="str">
        <f>'Kalkulation Herstellungskosten'!B76</f>
        <v>Tonschnitt</v>
      </c>
      <c r="B29" s="694"/>
      <c r="C29" s="87"/>
      <c r="D29" s="87"/>
      <c r="E29" s="704"/>
      <c r="F29" s="88"/>
      <c r="G29" s="702"/>
      <c r="H29" s="699"/>
      <c r="I29" s="674">
        <f>'Kalkulation Herstellungskosten'!G76/((1+1/6)*1.1041)</f>
        <v>0</v>
      </c>
      <c r="J29" s="675">
        <f t="shared" ref="J29" si="68">I29/6</f>
        <v>0</v>
      </c>
      <c r="K29" s="675">
        <f t="shared" ref="K29" si="69">(I29+J29)*10.41%</f>
        <v>0</v>
      </c>
      <c r="L29" s="667">
        <f t="shared" ref="L29" si="70">SUM(I29:K29)</f>
        <v>0</v>
      </c>
      <c r="M29" s="675">
        <f>IF(AND('Kalkulation Herstellungskosten'!C76=0,'Kalkulation Herstellungskosten'!C77=0),0,IF(I29/('Kalkulation Herstellungskosten'!C76+'Kalkulation Herstellungskosten'!C77)&gt;SVGrund_lfd_wö,('Kalkulation Herstellungskosten'!C76+'Kalkulation Herstellungskosten'!C77)*Höchst_Woche,I29*SV_lfd))</f>
        <v>0</v>
      </c>
      <c r="N29" s="675">
        <f t="shared" ref="N29" si="71">IF(J29&gt;SVGrund_SZ, Höchst_Mo_SZ,J29*SV_SZ)</f>
        <v>0</v>
      </c>
      <c r="O29" s="675">
        <f>IF(I29*10.41%&gt;(0.5833*('Kalkulation Herstellungskosten'!C77+'Kalkulation Herstellungskosten'!C76)*SVGrund_lfd_tä),(0.5833*('Kalkulation Herstellungskosten'!C77+'Kalkulation Herstellungskosten'!C76)*Höchst_Tag),I29*10.41%*SV_lfd)</f>
        <v>0</v>
      </c>
      <c r="P29" s="675">
        <f t="shared" ref="P29" si="72">IF(J29&gt;SVGrund_SZ,0,IF(J29*10.41%&gt;(SVGrund_SZ-J29),(SVGrund_SZ-J29)*SV_SZ,J29*10.41%*SV_SZ))</f>
        <v>0</v>
      </c>
      <c r="Q29" s="675">
        <f t="shared" ref="Q29" si="73">L29*MV</f>
        <v>0</v>
      </c>
      <c r="R29" s="675">
        <f t="shared" ref="R29" si="74">L29*DB</f>
        <v>0</v>
      </c>
      <c r="S29" s="675">
        <f t="shared" ref="S29" si="75">L29*DZ</f>
        <v>0</v>
      </c>
      <c r="T29" s="675">
        <f t="shared" ref="T29" si="76">L29*KommSt</f>
        <v>0</v>
      </c>
      <c r="U29" s="675">
        <f>('Kalkulation Herstellungskosten'!C76+'Kalkulation Herstellungskosten'!C77)*U_Bahn</f>
        <v>0</v>
      </c>
      <c r="V29" s="667">
        <f t="shared" ref="V29" si="77">SUM(M29:U29)</f>
        <v>0</v>
      </c>
      <c r="W29" s="667">
        <f t="shared" ref="W29" si="78">SUM(L29,V29)</f>
        <v>0</v>
      </c>
      <c r="X29" s="666"/>
      <c r="Y29" s="666"/>
      <c r="Z29" s="666"/>
      <c r="AA29" s="666"/>
      <c r="AB29" s="666"/>
      <c r="AC29" s="666"/>
      <c r="AD29" s="666"/>
      <c r="AE29" s="666"/>
      <c r="AF29" s="666"/>
      <c r="AG29" s="666"/>
      <c r="AH29" s="666"/>
      <c r="AI29" s="666"/>
      <c r="AJ29" s="666"/>
      <c r="AK29" s="666"/>
      <c r="AL29" s="666"/>
      <c r="AM29" s="666"/>
      <c r="AN29" s="666"/>
      <c r="AO29" s="666"/>
      <c r="AP29" s="666"/>
      <c r="AQ29" s="666"/>
      <c r="AR29" s="666"/>
      <c r="AS29" s="666"/>
      <c r="AT29" s="666"/>
      <c r="AU29" s="666"/>
      <c r="AV29" s="666"/>
      <c r="AW29" s="666"/>
      <c r="AX29" s="666"/>
      <c r="AY29" s="666"/>
      <c r="AZ29" s="666"/>
    </row>
    <row r="30" spans="1:52" ht="12.75" customHeight="1" x14ac:dyDescent="0.2">
      <c r="A30" s="706" t="str">
        <f>'Kalkulation Herstellungskosten'!B78</f>
        <v>Kostümbild</v>
      </c>
      <c r="B30" s="694"/>
      <c r="C30" s="87"/>
      <c r="D30" s="87"/>
      <c r="E30" s="704">
        <f t="shared" si="17"/>
        <v>0</v>
      </c>
      <c r="F30" s="88"/>
      <c r="G30" s="702">
        <f t="shared" si="18"/>
        <v>0</v>
      </c>
      <c r="H30" s="699"/>
      <c r="I30" s="674">
        <f>'Kalkulation Herstellungskosten'!G78/((1+1/6)*1.1041)</f>
        <v>0</v>
      </c>
      <c r="J30" s="675">
        <f t="shared" si="7"/>
        <v>0</v>
      </c>
      <c r="K30" s="675">
        <f t="shared" si="8"/>
        <v>0</v>
      </c>
      <c r="L30" s="667">
        <f t="shared" si="9"/>
        <v>0</v>
      </c>
      <c r="M30" s="675">
        <f>IF(AND('Kalkulation Herstellungskosten'!C78=0,'Kalkulation Herstellungskosten'!C79=0),0,IF(I30/('Kalkulation Herstellungskosten'!C78+'Kalkulation Herstellungskosten'!C79)&gt;SVGrund_lfd_wö,('Kalkulation Herstellungskosten'!C78+'Kalkulation Herstellungskosten'!C79)*Höchst_Woche,I30*SV_lfd))</f>
        <v>0</v>
      </c>
      <c r="N30" s="675">
        <f t="shared" si="31"/>
        <v>0</v>
      </c>
      <c r="O30" s="675">
        <f>IF(I30*10.41%&gt;(0.5833*('Kalkulation Herstellungskosten'!C79+'Kalkulation Herstellungskosten'!C78)*SVGrund_lfd_tä),(0.5833*('Kalkulation Herstellungskosten'!C79+'Kalkulation Herstellungskosten'!C78)*Höchst_Tag),I30*10.41%*SV_lfd)</f>
        <v>0</v>
      </c>
      <c r="P30" s="675">
        <f t="shared" si="32"/>
        <v>0</v>
      </c>
      <c r="Q30" s="675">
        <f t="shared" si="12"/>
        <v>0</v>
      </c>
      <c r="R30" s="675">
        <f t="shared" si="13"/>
        <v>0</v>
      </c>
      <c r="S30" s="675">
        <f t="shared" si="14"/>
        <v>0</v>
      </c>
      <c r="T30" s="675">
        <f t="shared" si="15"/>
        <v>0</v>
      </c>
      <c r="U30" s="675">
        <f>('Kalkulation Herstellungskosten'!C78+'Kalkulation Herstellungskosten'!C79)*U_Bahn</f>
        <v>0</v>
      </c>
      <c r="V30" s="667">
        <f t="shared" si="33"/>
        <v>0</v>
      </c>
      <c r="W30" s="667">
        <f t="shared" si="34"/>
        <v>0</v>
      </c>
      <c r="X30" s="666"/>
      <c r="Y30" s="666"/>
      <c r="Z30" s="666"/>
      <c r="AA30" s="666"/>
      <c r="AB30" s="666"/>
      <c r="AC30" s="666"/>
      <c r="AD30" s="666"/>
      <c r="AE30" s="666"/>
      <c r="AF30" s="666"/>
      <c r="AG30" s="666"/>
      <c r="AH30" s="666"/>
      <c r="AI30" s="666"/>
      <c r="AJ30" s="666"/>
      <c r="AK30" s="666"/>
      <c r="AL30" s="666"/>
      <c r="AM30" s="666"/>
      <c r="AN30" s="666"/>
      <c r="AO30" s="666"/>
      <c r="AP30" s="666"/>
      <c r="AQ30" s="666"/>
      <c r="AR30" s="666"/>
      <c r="AS30" s="666"/>
      <c r="AT30" s="666"/>
      <c r="AU30" s="666"/>
      <c r="AV30" s="666"/>
      <c r="AW30" s="666"/>
      <c r="AX30" s="666"/>
      <c r="AY30" s="666"/>
      <c r="AZ30" s="666"/>
    </row>
    <row r="31" spans="1:52" ht="12.75" customHeight="1" x14ac:dyDescent="0.2">
      <c r="A31" s="706" t="str">
        <f>'Kalkulation Herstellungskosten'!B80</f>
        <v>Kostümbildassistenz</v>
      </c>
      <c r="B31" s="694"/>
      <c r="C31" s="87"/>
      <c r="D31" s="87"/>
      <c r="E31" s="704">
        <f t="shared" si="17"/>
        <v>0</v>
      </c>
      <c r="F31" s="88"/>
      <c r="G31" s="702">
        <f t="shared" si="18"/>
        <v>0</v>
      </c>
      <c r="H31" s="699"/>
      <c r="I31" s="674">
        <f>'Kalkulation Herstellungskosten'!G80/((1+1/6)*1.1041)</f>
        <v>0</v>
      </c>
      <c r="J31" s="675">
        <f t="shared" si="7"/>
        <v>0</v>
      </c>
      <c r="K31" s="675">
        <f t="shared" si="8"/>
        <v>0</v>
      </c>
      <c r="L31" s="667">
        <f t="shared" si="9"/>
        <v>0</v>
      </c>
      <c r="M31" s="675">
        <f>IF(AND('Kalkulation Herstellungskosten'!C80=0,'Kalkulation Herstellungskosten'!C81=0),0,IF(I31/('Kalkulation Herstellungskosten'!C80+'Kalkulation Herstellungskosten'!C81)&gt;SVGrund_lfd_wö,('Kalkulation Herstellungskosten'!C80+'Kalkulation Herstellungskosten'!C81)*Höchst_Woche,I31*SV_lfd))</f>
        <v>0</v>
      </c>
      <c r="N31" s="675">
        <f t="shared" si="31"/>
        <v>0</v>
      </c>
      <c r="O31" s="675">
        <f>IF(I31*10.41%&gt;(0.5833*('Kalkulation Herstellungskosten'!C81+'Kalkulation Herstellungskosten'!C80)*SVGrund_lfd_tä),(0.5833*('Kalkulation Herstellungskosten'!C81+'Kalkulation Herstellungskosten'!C80)*Höchst_Tag),I31*10.41%*SV_lfd)</f>
        <v>0</v>
      </c>
      <c r="P31" s="675">
        <f t="shared" si="32"/>
        <v>0</v>
      </c>
      <c r="Q31" s="675">
        <f t="shared" si="12"/>
        <v>0</v>
      </c>
      <c r="R31" s="675">
        <f t="shared" si="13"/>
        <v>0</v>
      </c>
      <c r="S31" s="675">
        <f t="shared" si="14"/>
        <v>0</v>
      </c>
      <c r="T31" s="675">
        <f t="shared" si="15"/>
        <v>0</v>
      </c>
      <c r="U31" s="675">
        <f>('Kalkulation Herstellungskosten'!C80+'Kalkulation Herstellungskosten'!C81)*U_Bahn</f>
        <v>0</v>
      </c>
      <c r="V31" s="667">
        <f t="shared" si="33"/>
        <v>0</v>
      </c>
      <c r="W31" s="667">
        <f t="shared" si="34"/>
        <v>0</v>
      </c>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row>
    <row r="32" spans="1:52" ht="12.75" customHeight="1" x14ac:dyDescent="0.2">
      <c r="A32" s="706" t="str">
        <f>'Kalkulation Herstellungskosten'!B82</f>
        <v>Garderobe</v>
      </c>
      <c r="B32" s="694"/>
      <c r="C32" s="87"/>
      <c r="D32" s="87"/>
      <c r="E32" s="704">
        <f t="shared" si="17"/>
        <v>0</v>
      </c>
      <c r="F32" s="88"/>
      <c r="G32" s="702">
        <f t="shared" si="18"/>
        <v>0</v>
      </c>
      <c r="H32" s="699"/>
      <c r="I32" s="674">
        <f>'Kalkulation Herstellungskosten'!G82/((1+1/6)*1.1041)</f>
        <v>0</v>
      </c>
      <c r="J32" s="675">
        <f t="shared" si="7"/>
        <v>0</v>
      </c>
      <c r="K32" s="675">
        <f t="shared" si="8"/>
        <v>0</v>
      </c>
      <c r="L32" s="667">
        <f t="shared" si="9"/>
        <v>0</v>
      </c>
      <c r="M32" s="675">
        <f>IF(AND('Kalkulation Herstellungskosten'!C82=0,'Kalkulation Herstellungskosten'!C83=0),0,IF(I32/('Kalkulation Herstellungskosten'!C82+'Kalkulation Herstellungskosten'!C83)&gt;SVGrund_lfd_wö,('Kalkulation Herstellungskosten'!C82+'Kalkulation Herstellungskosten'!C83)*Höchst_Woche,I32*SV_lfd))</f>
        <v>0</v>
      </c>
      <c r="N32" s="675">
        <f t="shared" si="31"/>
        <v>0</v>
      </c>
      <c r="O32" s="675">
        <f>IF(I32*10.41%&gt;(0.5833*('Kalkulation Herstellungskosten'!C83+'Kalkulation Herstellungskosten'!C82)*SVGrund_lfd_tä),(0.5833*('Kalkulation Herstellungskosten'!C83+'Kalkulation Herstellungskosten'!C82)*Höchst_Tag),I32*10.41%*SV_lfd)</f>
        <v>0</v>
      </c>
      <c r="P32" s="675">
        <f t="shared" si="32"/>
        <v>0</v>
      </c>
      <c r="Q32" s="675">
        <f t="shared" si="12"/>
        <v>0</v>
      </c>
      <c r="R32" s="675">
        <f t="shared" si="13"/>
        <v>0</v>
      </c>
      <c r="S32" s="675">
        <f t="shared" si="14"/>
        <v>0</v>
      </c>
      <c r="T32" s="675">
        <f t="shared" si="15"/>
        <v>0</v>
      </c>
      <c r="U32" s="675">
        <f>('Kalkulation Herstellungskosten'!C82+'Kalkulation Herstellungskosten'!C83)*U_Bahn</f>
        <v>0</v>
      </c>
      <c r="V32" s="667">
        <f t="shared" si="33"/>
        <v>0</v>
      </c>
      <c r="W32" s="667">
        <f t="shared" si="34"/>
        <v>0</v>
      </c>
      <c r="X32" s="666"/>
      <c r="Y32" s="666"/>
      <c r="Z32" s="666"/>
      <c r="AA32" s="666"/>
      <c r="AB32" s="666"/>
      <c r="AC32" s="666"/>
      <c r="AD32" s="666"/>
      <c r="AE32" s="666"/>
      <c r="AF32" s="666"/>
      <c r="AG32" s="666"/>
      <c r="AH32" s="666"/>
      <c r="AI32" s="666"/>
      <c r="AJ32" s="666"/>
      <c r="AK32" s="666"/>
      <c r="AL32" s="666"/>
      <c r="AM32" s="666"/>
      <c r="AN32" s="666"/>
      <c r="AO32" s="666"/>
      <c r="AP32" s="666"/>
      <c r="AQ32" s="666"/>
      <c r="AR32" s="666"/>
      <c r="AS32" s="666"/>
      <c r="AT32" s="666"/>
      <c r="AU32" s="666"/>
      <c r="AV32" s="666"/>
      <c r="AW32" s="666"/>
      <c r="AX32" s="666"/>
      <c r="AY32" s="666"/>
      <c r="AZ32" s="666"/>
    </row>
    <row r="33" spans="1:52" ht="12.75" customHeight="1" x14ac:dyDescent="0.2">
      <c r="A33" s="706" t="str">
        <f>'Kalkulation Herstellungskosten'!B84</f>
        <v>Garderobe</v>
      </c>
      <c r="B33" s="694"/>
      <c r="C33" s="87"/>
      <c r="D33" s="87"/>
      <c r="E33" s="704">
        <f t="shared" si="17"/>
        <v>0</v>
      </c>
      <c r="F33" s="88"/>
      <c r="G33" s="702">
        <f t="shared" si="18"/>
        <v>0</v>
      </c>
      <c r="H33" s="699"/>
      <c r="I33" s="674">
        <f>'Kalkulation Herstellungskosten'!G84/((1+1/6)*1.1041)</f>
        <v>0</v>
      </c>
      <c r="J33" s="675">
        <f t="shared" si="7"/>
        <v>0</v>
      </c>
      <c r="K33" s="675">
        <f t="shared" si="8"/>
        <v>0</v>
      </c>
      <c r="L33" s="667">
        <f t="shared" si="9"/>
        <v>0</v>
      </c>
      <c r="M33" s="675">
        <f>IF(AND('Kalkulation Herstellungskosten'!C84=0,'Kalkulation Herstellungskosten'!C85=0),0,IF(I33/('Kalkulation Herstellungskosten'!C84+'Kalkulation Herstellungskosten'!C85)&gt;SVGrund_lfd_wö,('Kalkulation Herstellungskosten'!C84+'Kalkulation Herstellungskosten'!C85)*Höchst_Woche,I33*SV_lfd))</f>
        <v>0</v>
      </c>
      <c r="N33" s="675">
        <f t="shared" si="31"/>
        <v>0</v>
      </c>
      <c r="O33" s="675">
        <f>IF(I33*10.41%&gt;(0.5833*('Kalkulation Herstellungskosten'!C85+'Kalkulation Herstellungskosten'!C84)*SVGrund_lfd_tä),(0.5833*('Kalkulation Herstellungskosten'!C85+'Kalkulation Herstellungskosten'!C84)*Höchst_Tag),I33*10.41%*SV_lfd)</f>
        <v>0</v>
      </c>
      <c r="P33" s="675">
        <f t="shared" si="32"/>
        <v>0</v>
      </c>
      <c r="Q33" s="675">
        <f t="shared" si="12"/>
        <v>0</v>
      </c>
      <c r="R33" s="675">
        <f t="shared" si="13"/>
        <v>0</v>
      </c>
      <c r="S33" s="675">
        <f t="shared" si="14"/>
        <v>0</v>
      </c>
      <c r="T33" s="675">
        <f t="shared" si="15"/>
        <v>0</v>
      </c>
      <c r="U33" s="675">
        <f>('Kalkulation Herstellungskosten'!C84+'Kalkulation Herstellungskosten'!C85)*U_Bahn</f>
        <v>0</v>
      </c>
      <c r="V33" s="667">
        <f t="shared" si="33"/>
        <v>0</v>
      </c>
      <c r="W33" s="667">
        <f t="shared" si="34"/>
        <v>0</v>
      </c>
      <c r="X33" s="666"/>
      <c r="Y33" s="666"/>
      <c r="Z33" s="666"/>
      <c r="AA33" s="666"/>
      <c r="AB33" s="666"/>
      <c r="AC33" s="666"/>
      <c r="AD33" s="666"/>
      <c r="AE33" s="666"/>
      <c r="AF33" s="666"/>
      <c r="AG33" s="666"/>
      <c r="AH33" s="666"/>
      <c r="AI33" s="666"/>
      <c r="AJ33" s="666"/>
      <c r="AK33" s="666"/>
      <c r="AL33" s="666"/>
      <c r="AM33" s="666"/>
      <c r="AN33" s="666"/>
      <c r="AO33" s="666"/>
      <c r="AP33" s="666"/>
      <c r="AQ33" s="666"/>
      <c r="AR33" s="666"/>
      <c r="AS33" s="666"/>
      <c r="AT33" s="666"/>
      <c r="AU33" s="666"/>
      <c r="AV33" s="666"/>
      <c r="AW33" s="666"/>
      <c r="AX33" s="666"/>
      <c r="AY33" s="666"/>
      <c r="AZ33" s="666"/>
    </row>
    <row r="34" spans="1:52" ht="12.75" customHeight="1" x14ac:dyDescent="0.2">
      <c r="A34" s="706" t="str">
        <f>'Kalkulation Herstellungskosten'!B86</f>
        <v>Garderobenhilfe</v>
      </c>
      <c r="B34" s="694"/>
      <c r="C34" s="87"/>
      <c r="D34" s="87"/>
      <c r="E34" s="704">
        <f t="shared" si="17"/>
        <v>0</v>
      </c>
      <c r="F34" s="88"/>
      <c r="G34" s="702">
        <f t="shared" si="18"/>
        <v>0</v>
      </c>
      <c r="H34" s="699"/>
      <c r="I34" s="674">
        <f>'Kalkulation Herstellungskosten'!G86/((1+1/6)*1.1041)</f>
        <v>0</v>
      </c>
      <c r="J34" s="675">
        <f t="shared" si="7"/>
        <v>0</v>
      </c>
      <c r="K34" s="675">
        <f t="shared" si="8"/>
        <v>0</v>
      </c>
      <c r="L34" s="667">
        <f t="shared" si="9"/>
        <v>0</v>
      </c>
      <c r="M34" s="675">
        <f>IF(AND('Kalkulation Herstellungskosten'!C86=0,'Kalkulation Herstellungskosten'!C87=0),0,IF(I34/('Kalkulation Herstellungskosten'!C86+'Kalkulation Herstellungskosten'!C87)&gt;SVGrund_lfd_wö,('Kalkulation Herstellungskosten'!C86+'Kalkulation Herstellungskosten'!C87)*Höchst_Woche,I34*SV_lfd))</f>
        <v>0</v>
      </c>
      <c r="N34" s="675">
        <f t="shared" si="31"/>
        <v>0</v>
      </c>
      <c r="O34" s="675">
        <f>IF(I34*10.41%&gt;(0.5833*('Kalkulation Herstellungskosten'!C87+'Kalkulation Herstellungskosten'!C86)*SVGrund_lfd_tä),(0.5833*('Kalkulation Herstellungskosten'!C87+'Kalkulation Herstellungskosten'!C86)*Höchst_Tag),I34*10.41%*SV_lfd)</f>
        <v>0</v>
      </c>
      <c r="P34" s="675">
        <f t="shared" si="32"/>
        <v>0</v>
      </c>
      <c r="Q34" s="675">
        <f t="shared" si="12"/>
        <v>0</v>
      </c>
      <c r="R34" s="675">
        <f t="shared" si="13"/>
        <v>0</v>
      </c>
      <c r="S34" s="675">
        <f t="shared" si="14"/>
        <v>0</v>
      </c>
      <c r="T34" s="675">
        <f t="shared" si="15"/>
        <v>0</v>
      </c>
      <c r="U34" s="675">
        <f>('Kalkulation Herstellungskosten'!C86+'Kalkulation Herstellungskosten'!C87)*U_Bahn</f>
        <v>0</v>
      </c>
      <c r="V34" s="667">
        <f t="shared" si="33"/>
        <v>0</v>
      </c>
      <c r="W34" s="667">
        <f t="shared" si="34"/>
        <v>0</v>
      </c>
      <c r="X34" s="666"/>
      <c r="Y34" s="666"/>
      <c r="Z34" s="666"/>
      <c r="AA34" s="666"/>
      <c r="AB34" s="666"/>
      <c r="AC34" s="666"/>
      <c r="AD34" s="666"/>
      <c r="AE34" s="666"/>
      <c r="AF34" s="666"/>
      <c r="AG34" s="666"/>
      <c r="AH34" s="666"/>
      <c r="AI34" s="666"/>
      <c r="AJ34" s="666"/>
      <c r="AK34" s="666"/>
      <c r="AL34" s="666"/>
      <c r="AM34" s="666"/>
      <c r="AN34" s="666"/>
      <c r="AO34" s="666"/>
      <c r="AP34" s="666"/>
      <c r="AQ34" s="666"/>
      <c r="AR34" s="666"/>
      <c r="AS34" s="666"/>
      <c r="AT34" s="666"/>
      <c r="AU34" s="666"/>
      <c r="AV34" s="666"/>
      <c r="AW34" s="666"/>
      <c r="AX34" s="666"/>
      <c r="AY34" s="666"/>
      <c r="AZ34" s="666"/>
    </row>
    <row r="35" spans="1:52" ht="12.75" customHeight="1" x14ac:dyDescent="0.2">
      <c r="A35" s="706" t="str">
        <f>'Kalkulation Herstellungskosten'!B88</f>
        <v>Außenrequisite</v>
      </c>
      <c r="B35" s="694"/>
      <c r="C35" s="87"/>
      <c r="D35" s="87"/>
      <c r="E35" s="704">
        <f t="shared" si="17"/>
        <v>0</v>
      </c>
      <c r="F35" s="88"/>
      <c r="G35" s="702">
        <f t="shared" si="18"/>
        <v>0</v>
      </c>
      <c r="H35" s="699"/>
      <c r="I35" s="674">
        <f>'Kalkulation Herstellungskosten'!G88/((1+1/6)*1.1041)</f>
        <v>0</v>
      </c>
      <c r="J35" s="675">
        <f t="shared" si="7"/>
        <v>0</v>
      </c>
      <c r="K35" s="675">
        <f t="shared" si="8"/>
        <v>0</v>
      </c>
      <c r="L35" s="667">
        <f t="shared" si="9"/>
        <v>0</v>
      </c>
      <c r="M35" s="675">
        <f>IF(AND('Kalkulation Herstellungskosten'!C88=0,'Kalkulation Herstellungskosten'!C89=0),0,IF(I35/('Kalkulation Herstellungskosten'!C88+'Kalkulation Herstellungskosten'!C89)&gt;SVGrund_lfd_wö,('Kalkulation Herstellungskosten'!C88+'Kalkulation Herstellungskosten'!C89)*Höchst_Woche,I35*SV_lfd))</f>
        <v>0</v>
      </c>
      <c r="N35" s="675">
        <f t="shared" si="31"/>
        <v>0</v>
      </c>
      <c r="O35" s="675">
        <f>IF(I35*10.41%&gt;(0.5833*('Kalkulation Herstellungskosten'!C89+'Kalkulation Herstellungskosten'!C88)*SVGrund_lfd_tä),(0.5833*('Kalkulation Herstellungskosten'!C89+'Kalkulation Herstellungskosten'!C88)*Höchst_Tag),I35*10.41%*SV_lfd)</f>
        <v>0</v>
      </c>
      <c r="P35" s="675">
        <f t="shared" si="32"/>
        <v>0</v>
      </c>
      <c r="Q35" s="675">
        <f t="shared" si="12"/>
        <v>0</v>
      </c>
      <c r="R35" s="675">
        <f t="shared" si="13"/>
        <v>0</v>
      </c>
      <c r="S35" s="675">
        <f t="shared" si="14"/>
        <v>0</v>
      </c>
      <c r="T35" s="675">
        <f t="shared" si="15"/>
        <v>0</v>
      </c>
      <c r="U35" s="675">
        <f>('Kalkulation Herstellungskosten'!C88+'Kalkulation Herstellungskosten'!C89)*U_Bahn</f>
        <v>0</v>
      </c>
      <c r="V35" s="667">
        <f t="shared" si="33"/>
        <v>0</v>
      </c>
      <c r="W35" s="667">
        <f t="shared" si="34"/>
        <v>0</v>
      </c>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row>
    <row r="36" spans="1:52" ht="12.75" customHeight="1" x14ac:dyDescent="0.2">
      <c r="A36" s="706" t="str">
        <f>'Kalkulation Herstellungskosten'!B90</f>
        <v>Innenrequisite</v>
      </c>
      <c r="B36" s="694"/>
      <c r="C36" s="87"/>
      <c r="D36" s="87"/>
      <c r="E36" s="704">
        <f t="shared" si="17"/>
        <v>0</v>
      </c>
      <c r="F36" s="88"/>
      <c r="G36" s="702">
        <f t="shared" si="18"/>
        <v>0</v>
      </c>
      <c r="H36" s="699"/>
      <c r="I36" s="674">
        <f>'Kalkulation Herstellungskosten'!G90/((1+1/6)*1.1041)</f>
        <v>0</v>
      </c>
      <c r="J36" s="675">
        <f t="shared" si="7"/>
        <v>0</v>
      </c>
      <c r="K36" s="675">
        <f t="shared" si="8"/>
        <v>0</v>
      </c>
      <c r="L36" s="667">
        <f t="shared" si="9"/>
        <v>0</v>
      </c>
      <c r="M36" s="675">
        <f>IF(AND('Kalkulation Herstellungskosten'!C90=0,'Kalkulation Herstellungskosten'!C91=0),0,IF(I36/('Kalkulation Herstellungskosten'!C90+'Kalkulation Herstellungskosten'!C91)&gt;SVGrund_lfd_wö,('Kalkulation Herstellungskosten'!C90+'Kalkulation Herstellungskosten'!C91)*Höchst_Woche,I36*SV_lfd))</f>
        <v>0</v>
      </c>
      <c r="N36" s="675">
        <f t="shared" si="31"/>
        <v>0</v>
      </c>
      <c r="O36" s="675">
        <f>IF(I36*10.41%&gt;(0.5833*('Kalkulation Herstellungskosten'!C91+'Kalkulation Herstellungskosten'!C90)*SVGrund_lfd_tä),(0.5833*('Kalkulation Herstellungskosten'!C91+'Kalkulation Herstellungskosten'!C90)*Höchst_Tag),I36*10.41%*SV_lfd)</f>
        <v>0</v>
      </c>
      <c r="P36" s="675">
        <f t="shared" si="32"/>
        <v>0</v>
      </c>
      <c r="Q36" s="675">
        <f t="shared" si="12"/>
        <v>0</v>
      </c>
      <c r="R36" s="675">
        <f t="shared" si="13"/>
        <v>0</v>
      </c>
      <c r="S36" s="675">
        <f t="shared" si="14"/>
        <v>0</v>
      </c>
      <c r="T36" s="675">
        <f t="shared" si="15"/>
        <v>0</v>
      </c>
      <c r="U36" s="675">
        <f>('Kalkulation Herstellungskosten'!C90+'Kalkulation Herstellungskosten'!C91)*U_Bahn</f>
        <v>0</v>
      </c>
      <c r="V36" s="667">
        <f t="shared" si="33"/>
        <v>0</v>
      </c>
      <c r="W36" s="667">
        <f t="shared" si="34"/>
        <v>0</v>
      </c>
      <c r="X36" s="666"/>
      <c r="Y36" s="666"/>
      <c r="Z36" s="666"/>
      <c r="AA36" s="666"/>
      <c r="AB36" s="666"/>
      <c r="AC36" s="666"/>
      <c r="AD36" s="666"/>
      <c r="AE36" s="666"/>
      <c r="AF36" s="666"/>
      <c r="AG36" s="666"/>
      <c r="AH36" s="666"/>
      <c r="AI36" s="666"/>
      <c r="AJ36" s="666"/>
      <c r="AK36" s="666"/>
      <c r="AL36" s="666"/>
      <c r="AM36" s="666"/>
      <c r="AN36" s="666"/>
      <c r="AO36" s="666"/>
      <c r="AP36" s="666"/>
      <c r="AQ36" s="666"/>
      <c r="AR36" s="666"/>
      <c r="AS36" s="666"/>
      <c r="AT36" s="666"/>
      <c r="AU36" s="666"/>
      <c r="AV36" s="666"/>
      <c r="AW36" s="666"/>
      <c r="AX36" s="666"/>
      <c r="AY36" s="666"/>
      <c r="AZ36" s="666"/>
    </row>
    <row r="37" spans="1:52" ht="12.75" customHeight="1" x14ac:dyDescent="0.2">
      <c r="A37" s="706" t="str">
        <f>'Kalkulation Herstellungskosten'!B92</f>
        <v>Requisitenhilfe</v>
      </c>
      <c r="B37" s="694"/>
      <c r="C37" s="87"/>
      <c r="D37" s="87"/>
      <c r="E37" s="704">
        <f t="shared" si="17"/>
        <v>0</v>
      </c>
      <c r="F37" s="88"/>
      <c r="G37" s="702">
        <f t="shared" si="18"/>
        <v>0</v>
      </c>
      <c r="H37" s="699"/>
      <c r="I37" s="674">
        <f>'Kalkulation Herstellungskosten'!G92/((1+1/6)*1.1041)</f>
        <v>0</v>
      </c>
      <c r="J37" s="675">
        <f t="shared" si="7"/>
        <v>0</v>
      </c>
      <c r="K37" s="675">
        <f t="shared" si="8"/>
        <v>0</v>
      </c>
      <c r="L37" s="667">
        <f t="shared" si="9"/>
        <v>0</v>
      </c>
      <c r="M37" s="675">
        <f>IF(AND('Kalkulation Herstellungskosten'!C92=0,'Kalkulation Herstellungskosten'!C93=0),0,IF(I37/('Kalkulation Herstellungskosten'!C92+'Kalkulation Herstellungskosten'!C93)&gt;SVGrund_lfd_wö,('Kalkulation Herstellungskosten'!C92+'Kalkulation Herstellungskosten'!C93)*Höchst_Woche,I37*SV_lfd))</f>
        <v>0</v>
      </c>
      <c r="N37" s="675">
        <f t="shared" si="31"/>
        <v>0</v>
      </c>
      <c r="O37" s="675">
        <f>IF(I37*10.41%&gt;(0.5833*('Kalkulation Herstellungskosten'!C93+'Kalkulation Herstellungskosten'!C92)*SVGrund_lfd_tä),(0.5833*('Kalkulation Herstellungskosten'!C93+'Kalkulation Herstellungskosten'!C92)*Höchst_Tag),I37*10.41%*SV_lfd)</f>
        <v>0</v>
      </c>
      <c r="P37" s="675">
        <f t="shared" si="32"/>
        <v>0</v>
      </c>
      <c r="Q37" s="675">
        <f t="shared" si="12"/>
        <v>0</v>
      </c>
      <c r="R37" s="675">
        <f t="shared" si="13"/>
        <v>0</v>
      </c>
      <c r="S37" s="675">
        <f t="shared" si="14"/>
        <v>0</v>
      </c>
      <c r="T37" s="675">
        <f t="shared" si="15"/>
        <v>0</v>
      </c>
      <c r="U37" s="675">
        <f>('Kalkulation Herstellungskosten'!C92+'Kalkulation Herstellungskosten'!C93)*U_Bahn</f>
        <v>0</v>
      </c>
      <c r="V37" s="667">
        <f t="shared" si="33"/>
        <v>0</v>
      </c>
      <c r="W37" s="667">
        <f t="shared" si="34"/>
        <v>0</v>
      </c>
      <c r="X37" s="666"/>
      <c r="Y37" s="666"/>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row>
    <row r="38" spans="1:52" ht="12.75" customHeight="1" x14ac:dyDescent="0.2">
      <c r="A38" s="706" t="str">
        <f>'Kalkulation Herstellungskosten'!B94</f>
        <v>Szenenbild (Filmarchitektur)</v>
      </c>
      <c r="B38" s="694"/>
      <c r="C38" s="87"/>
      <c r="D38" s="87"/>
      <c r="E38" s="704"/>
      <c r="F38" s="88"/>
      <c r="G38" s="702"/>
      <c r="H38" s="699"/>
      <c r="I38" s="674">
        <f>'Kalkulation Herstellungskosten'!G94/((1+1/6)*1.1041)</f>
        <v>0</v>
      </c>
      <c r="J38" s="675">
        <f t="shared" ref="J38" si="79">I38/6</f>
        <v>0</v>
      </c>
      <c r="K38" s="675">
        <f t="shared" ref="K38" si="80">(I38+J38)*10.41%</f>
        <v>0</v>
      </c>
      <c r="L38" s="667">
        <f t="shared" ref="L38" si="81">SUM(I38:K38)</f>
        <v>0</v>
      </c>
      <c r="M38" s="675">
        <f>IF(AND('Kalkulation Herstellungskosten'!C94=0,'Kalkulation Herstellungskosten'!C95=0),0,IF(I38/('Kalkulation Herstellungskosten'!C94+'Kalkulation Herstellungskosten'!C95)&gt;SVGrund_lfd_wö,('Kalkulation Herstellungskosten'!C94+'Kalkulation Herstellungskosten'!C95)*Höchst_Woche,I38*SV_lfd))</f>
        <v>0</v>
      </c>
      <c r="N38" s="675">
        <f t="shared" ref="N38" si="82">IF(J38&gt;SVGrund_SZ, Höchst_Mo_SZ,J38*SV_SZ)</f>
        <v>0</v>
      </c>
      <c r="O38" s="675">
        <f>IF(I38*10.41%&gt;(0.5833*('Kalkulation Herstellungskosten'!C95+'Kalkulation Herstellungskosten'!C94)*SVGrund_lfd_tä),(0.5833*('Kalkulation Herstellungskosten'!C95+'Kalkulation Herstellungskosten'!C94)*Höchst_Tag),I38*10.41%*SV_lfd)</f>
        <v>0</v>
      </c>
      <c r="P38" s="675">
        <f t="shared" ref="P38" si="83">IF(J38&gt;SVGrund_SZ,0,IF(J38*10.41%&gt;(SVGrund_SZ-J38),(SVGrund_SZ-J38)*SV_SZ,J38*10.41%*SV_SZ))</f>
        <v>0</v>
      </c>
      <c r="Q38" s="675">
        <f t="shared" ref="Q38" si="84">L38*MV</f>
        <v>0</v>
      </c>
      <c r="R38" s="675">
        <f t="shared" ref="R38" si="85">L38*DB</f>
        <v>0</v>
      </c>
      <c r="S38" s="675">
        <f t="shared" ref="S38" si="86">L38*DZ</f>
        <v>0</v>
      </c>
      <c r="T38" s="675">
        <f t="shared" ref="T38" si="87">L38*KommSt</f>
        <v>0</v>
      </c>
      <c r="U38" s="675">
        <f>('Kalkulation Herstellungskosten'!C94+'Kalkulation Herstellungskosten'!C95)*U_Bahn</f>
        <v>0</v>
      </c>
      <c r="V38" s="667">
        <f t="shared" ref="V38" si="88">SUM(M38:U38)</f>
        <v>0</v>
      </c>
      <c r="W38" s="667">
        <f t="shared" ref="W38" si="89">SUM(L38,V38)</f>
        <v>0</v>
      </c>
      <c r="X38" s="666"/>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row>
    <row r="39" spans="1:52" ht="12.75" customHeight="1" x14ac:dyDescent="0.2">
      <c r="A39" s="706" t="str">
        <f>'Kalkulation Herstellungskosten'!B96</f>
        <v>Szenenbildassistenz</v>
      </c>
      <c r="B39" s="694"/>
      <c r="C39" s="87"/>
      <c r="D39" s="87"/>
      <c r="E39" s="704">
        <f t="shared" si="17"/>
        <v>0</v>
      </c>
      <c r="F39" s="88"/>
      <c r="G39" s="702">
        <f t="shared" si="18"/>
        <v>0</v>
      </c>
      <c r="H39" s="699"/>
      <c r="I39" s="674">
        <f>'Kalkulation Herstellungskosten'!G96/((1+1/6)*1.1041)</f>
        <v>0</v>
      </c>
      <c r="J39" s="675">
        <f t="shared" ref="J39:J56" si="90">I39/6</f>
        <v>0</v>
      </c>
      <c r="K39" s="675">
        <f t="shared" ref="K39:K56" si="91">(I39+J39)*10.41%</f>
        <v>0</v>
      </c>
      <c r="L39" s="667">
        <f t="shared" ref="L39:L56" si="92">SUM(I39:K39)</f>
        <v>0</v>
      </c>
      <c r="M39" s="675">
        <f>IF(AND('Kalkulation Herstellungskosten'!C96=0,'Kalkulation Herstellungskosten'!C97=0),0,IF(I39/('Kalkulation Herstellungskosten'!C96+'Kalkulation Herstellungskosten'!C97)&gt;SVGrund_lfd_wö,('Kalkulation Herstellungskosten'!C96+'Kalkulation Herstellungskosten'!C97)*Höchst_Woche,I39*SV_lfd))</f>
        <v>0</v>
      </c>
      <c r="N39" s="675">
        <f t="shared" si="31"/>
        <v>0</v>
      </c>
      <c r="O39" s="675">
        <f>IF(I39*10.41%&gt;(0.5833*('Kalkulation Herstellungskosten'!C97+'Kalkulation Herstellungskosten'!C96)*SVGrund_lfd_tä),(0.5833*('Kalkulation Herstellungskosten'!C97+'Kalkulation Herstellungskosten'!C96)*Höchst_Tag),I39*10.41%*SV_lfd)</f>
        <v>0</v>
      </c>
      <c r="P39" s="675">
        <f t="shared" si="32"/>
        <v>0</v>
      </c>
      <c r="Q39" s="675">
        <f t="shared" si="12"/>
        <v>0</v>
      </c>
      <c r="R39" s="675">
        <f t="shared" si="13"/>
        <v>0</v>
      </c>
      <c r="S39" s="675">
        <f t="shared" si="14"/>
        <v>0</v>
      </c>
      <c r="T39" s="675">
        <f t="shared" si="15"/>
        <v>0</v>
      </c>
      <c r="U39" s="675">
        <f>('Kalkulation Herstellungskosten'!C96+'Kalkulation Herstellungskosten'!C97)*U_Bahn</f>
        <v>0</v>
      </c>
      <c r="V39" s="667">
        <f t="shared" si="33"/>
        <v>0</v>
      </c>
      <c r="W39" s="667">
        <f t="shared" si="34"/>
        <v>0</v>
      </c>
      <c r="X39" s="666"/>
      <c r="Y39" s="666"/>
      <c r="Z39" s="666"/>
      <c r="AA39" s="666"/>
      <c r="AB39" s="666"/>
      <c r="AC39" s="666"/>
      <c r="AD39" s="666"/>
      <c r="AE39" s="666"/>
      <c r="AF39" s="666"/>
      <c r="AG39" s="666"/>
      <c r="AH39" s="666"/>
      <c r="AI39" s="666"/>
      <c r="AJ39" s="666"/>
      <c r="AK39" s="666"/>
      <c r="AL39" s="666"/>
      <c r="AM39" s="666"/>
      <c r="AN39" s="666"/>
      <c r="AO39" s="666"/>
      <c r="AP39" s="666"/>
      <c r="AQ39" s="666"/>
      <c r="AR39" s="666"/>
      <c r="AS39" s="666"/>
      <c r="AT39" s="666"/>
      <c r="AU39" s="666"/>
      <c r="AV39" s="666"/>
      <c r="AW39" s="666"/>
      <c r="AX39" s="666"/>
      <c r="AY39" s="666"/>
      <c r="AZ39" s="666"/>
    </row>
    <row r="40" spans="1:52" ht="12.75" customHeight="1" x14ac:dyDescent="0.2">
      <c r="A40" s="706" t="str">
        <f>'Kalkulation Herstellungskosten'!B98</f>
        <v>Maskenbild</v>
      </c>
      <c r="B40" s="694"/>
      <c r="C40" s="87"/>
      <c r="D40" s="87"/>
      <c r="E40" s="704">
        <f t="shared" si="17"/>
        <v>0</v>
      </c>
      <c r="F40" s="88"/>
      <c r="G40" s="702">
        <f t="shared" si="18"/>
        <v>0</v>
      </c>
      <c r="H40" s="699"/>
      <c r="I40" s="674">
        <f>'Kalkulation Herstellungskosten'!G98/((1+1/6)*1.1041)</f>
        <v>0</v>
      </c>
      <c r="J40" s="675">
        <f t="shared" si="90"/>
        <v>0</v>
      </c>
      <c r="K40" s="675">
        <f t="shared" si="91"/>
        <v>0</v>
      </c>
      <c r="L40" s="667">
        <f t="shared" si="92"/>
        <v>0</v>
      </c>
      <c r="M40" s="675">
        <f>IF(AND('Kalkulation Herstellungskosten'!C98=0,'Kalkulation Herstellungskosten'!C99=0),0,IF(I40/('Kalkulation Herstellungskosten'!C98+'Kalkulation Herstellungskosten'!C99)&gt;SVGrund_lfd_wö,('Kalkulation Herstellungskosten'!C98+'Kalkulation Herstellungskosten'!C99)*Höchst_Woche,I40*SV_lfd))</f>
        <v>0</v>
      </c>
      <c r="N40" s="675">
        <f t="shared" si="31"/>
        <v>0</v>
      </c>
      <c r="O40" s="675">
        <f>IF(I40*10.41%&gt;(0.5833*('Kalkulation Herstellungskosten'!C99+'Kalkulation Herstellungskosten'!C98)*SVGrund_lfd_tä),(0.5833*('Kalkulation Herstellungskosten'!C99+'Kalkulation Herstellungskosten'!C98)*Höchst_Tag),I40*10.41%*SV_lfd)</f>
        <v>0</v>
      </c>
      <c r="P40" s="675">
        <f t="shared" si="32"/>
        <v>0</v>
      </c>
      <c r="Q40" s="675">
        <f t="shared" ref="Q40:Q56" si="93">L40*MV</f>
        <v>0</v>
      </c>
      <c r="R40" s="675">
        <f t="shared" ref="R40:R56" si="94">L40*DB</f>
        <v>0</v>
      </c>
      <c r="S40" s="675">
        <f t="shared" ref="S40:S56" si="95">L40*DZ</f>
        <v>0</v>
      </c>
      <c r="T40" s="675">
        <f t="shared" ref="T40:T56" si="96">L40*KommSt</f>
        <v>0</v>
      </c>
      <c r="U40" s="675">
        <f>('Kalkulation Herstellungskosten'!C98+'Kalkulation Herstellungskosten'!C99)*U_Bahn</f>
        <v>0</v>
      </c>
      <c r="V40" s="667">
        <f t="shared" si="33"/>
        <v>0</v>
      </c>
      <c r="W40" s="667">
        <f t="shared" si="34"/>
        <v>0</v>
      </c>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666"/>
      <c r="AU40" s="666"/>
      <c r="AV40" s="666"/>
      <c r="AW40" s="666"/>
      <c r="AX40" s="666"/>
      <c r="AY40" s="666"/>
      <c r="AZ40" s="666"/>
    </row>
    <row r="41" spans="1:52" ht="12.75" customHeight="1" x14ac:dyDescent="0.2">
      <c r="A41" s="706" t="str">
        <f>'Kalkulation Herstellungskosten'!B100</f>
        <v>Maskenbild</v>
      </c>
      <c r="B41" s="694"/>
      <c r="C41" s="87"/>
      <c r="D41" s="87"/>
      <c r="E41" s="704">
        <f t="shared" si="17"/>
        <v>0</v>
      </c>
      <c r="F41" s="88"/>
      <c r="G41" s="702">
        <f t="shared" si="18"/>
        <v>0</v>
      </c>
      <c r="H41" s="699"/>
      <c r="I41" s="674">
        <f>'Kalkulation Herstellungskosten'!G100/((1+1/6)*1.1041)</f>
        <v>0</v>
      </c>
      <c r="J41" s="675">
        <f t="shared" si="90"/>
        <v>0</v>
      </c>
      <c r="K41" s="675">
        <f t="shared" si="91"/>
        <v>0</v>
      </c>
      <c r="L41" s="667">
        <f t="shared" si="92"/>
        <v>0</v>
      </c>
      <c r="M41" s="675">
        <f>IF(AND('Kalkulation Herstellungskosten'!C100=0,'Kalkulation Herstellungskosten'!C101=0),0,IF(I41/('Kalkulation Herstellungskosten'!C100+'Kalkulation Herstellungskosten'!C101)&gt;SVGrund_lfd_wö,('Kalkulation Herstellungskosten'!C100+'Kalkulation Herstellungskosten'!C101)*Höchst_Woche,I41*SV_lfd))</f>
        <v>0</v>
      </c>
      <c r="N41" s="675">
        <f t="shared" si="31"/>
        <v>0</v>
      </c>
      <c r="O41" s="675">
        <f>IF(I41*10.41%&gt;(0.5833*('Kalkulation Herstellungskosten'!C101+'Kalkulation Herstellungskosten'!C100)*SVGrund_lfd_tä),(0.5833*('Kalkulation Herstellungskosten'!C101+'Kalkulation Herstellungskosten'!C100)*Höchst_Tag),I41*10.41%*SV_lfd)</f>
        <v>0</v>
      </c>
      <c r="P41" s="675">
        <f t="shared" si="32"/>
        <v>0</v>
      </c>
      <c r="Q41" s="675">
        <f t="shared" si="93"/>
        <v>0</v>
      </c>
      <c r="R41" s="675">
        <f t="shared" si="94"/>
        <v>0</v>
      </c>
      <c r="S41" s="675">
        <f t="shared" si="95"/>
        <v>0</v>
      </c>
      <c r="T41" s="675">
        <f t="shared" si="96"/>
        <v>0</v>
      </c>
      <c r="U41" s="675">
        <f>('Kalkulation Herstellungskosten'!C100+'Kalkulation Herstellungskosten'!C101)*U_Bahn</f>
        <v>0</v>
      </c>
      <c r="V41" s="667">
        <f t="shared" si="33"/>
        <v>0</v>
      </c>
      <c r="W41" s="667">
        <f t="shared" si="34"/>
        <v>0</v>
      </c>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666"/>
      <c r="AU41" s="666"/>
      <c r="AV41" s="666"/>
      <c r="AW41" s="666"/>
      <c r="AX41" s="666"/>
      <c r="AY41" s="666"/>
      <c r="AZ41" s="666"/>
    </row>
    <row r="42" spans="1:52" ht="12.75" customHeight="1" x14ac:dyDescent="0.2">
      <c r="A42" s="706" t="str">
        <f>'Kalkulation Herstellungskosten'!B102</f>
        <v>Maskenbildhilfe</v>
      </c>
      <c r="B42" s="694"/>
      <c r="C42" s="87"/>
      <c r="D42" s="87"/>
      <c r="E42" s="704">
        <f t="shared" si="17"/>
        <v>0</v>
      </c>
      <c r="F42" s="88"/>
      <c r="G42" s="702">
        <f t="shared" si="18"/>
        <v>0</v>
      </c>
      <c r="H42" s="699"/>
      <c r="I42" s="674">
        <f>'Kalkulation Herstellungskosten'!G102/((1+1/6)*1.1041)</f>
        <v>0</v>
      </c>
      <c r="J42" s="675">
        <f t="shared" si="90"/>
        <v>0</v>
      </c>
      <c r="K42" s="675">
        <f t="shared" si="91"/>
        <v>0</v>
      </c>
      <c r="L42" s="667">
        <f t="shared" si="92"/>
        <v>0</v>
      </c>
      <c r="M42" s="675">
        <f>IF(AND('Kalkulation Herstellungskosten'!C102=0,'Kalkulation Herstellungskosten'!C103=0),0,IF(I42/('Kalkulation Herstellungskosten'!C102+'Kalkulation Herstellungskosten'!C103)&gt;SVGrund_lfd_wö,('Kalkulation Herstellungskosten'!C102+'Kalkulation Herstellungskosten'!C103)*Höchst_Woche,I42*SV_lfd))</f>
        <v>0</v>
      </c>
      <c r="N42" s="675">
        <f t="shared" si="31"/>
        <v>0</v>
      </c>
      <c r="O42" s="675">
        <f>IF(I42*10.41%&gt;(0.5833*('Kalkulation Herstellungskosten'!C103+'Kalkulation Herstellungskosten'!C102)*SVGrund_lfd_tä),(0.5833*('Kalkulation Herstellungskosten'!C103+'Kalkulation Herstellungskosten'!C102)*Höchst_Tag),I42*10.41%*SV_lfd)</f>
        <v>0</v>
      </c>
      <c r="P42" s="675">
        <f t="shared" si="32"/>
        <v>0</v>
      </c>
      <c r="Q42" s="675">
        <f t="shared" si="93"/>
        <v>0</v>
      </c>
      <c r="R42" s="675">
        <f t="shared" si="94"/>
        <v>0</v>
      </c>
      <c r="S42" s="675">
        <f t="shared" si="95"/>
        <v>0</v>
      </c>
      <c r="T42" s="675">
        <f t="shared" si="96"/>
        <v>0</v>
      </c>
      <c r="U42" s="675">
        <f>('Kalkulation Herstellungskosten'!C102+'Kalkulation Herstellungskosten'!C103)*U_Bahn</f>
        <v>0</v>
      </c>
      <c r="V42" s="667">
        <f t="shared" si="33"/>
        <v>0</v>
      </c>
      <c r="W42" s="667">
        <f t="shared" si="34"/>
        <v>0</v>
      </c>
      <c r="X42" s="666"/>
      <c r="Y42" s="666"/>
      <c r="Z42" s="666"/>
      <c r="AA42" s="666"/>
      <c r="AB42" s="666"/>
      <c r="AC42" s="666"/>
      <c r="AD42" s="666"/>
      <c r="AE42" s="666"/>
      <c r="AF42" s="666"/>
      <c r="AG42" s="666"/>
      <c r="AH42" s="666"/>
      <c r="AI42" s="666"/>
      <c r="AJ42" s="666"/>
      <c r="AK42" s="666"/>
      <c r="AL42" s="666"/>
      <c r="AM42" s="666"/>
      <c r="AN42" s="666"/>
      <c r="AO42" s="666"/>
      <c r="AP42" s="666"/>
      <c r="AQ42" s="666"/>
      <c r="AR42" s="666"/>
      <c r="AS42" s="666"/>
      <c r="AT42" s="666"/>
      <c r="AU42" s="666"/>
      <c r="AV42" s="666"/>
      <c r="AW42" s="666"/>
      <c r="AX42" s="666"/>
      <c r="AY42" s="666"/>
      <c r="AZ42" s="666"/>
    </row>
    <row r="43" spans="1:52" ht="12.75" customHeight="1" x14ac:dyDescent="0.2">
      <c r="A43" s="706" t="str">
        <f>'Kalkulation Herstellungskosten'!B104</f>
        <v>Frisur</v>
      </c>
      <c r="B43" s="694"/>
      <c r="C43" s="87"/>
      <c r="D43" s="87"/>
      <c r="E43" s="704">
        <f t="shared" si="17"/>
        <v>0</v>
      </c>
      <c r="F43" s="88"/>
      <c r="G43" s="702">
        <f t="shared" si="18"/>
        <v>0</v>
      </c>
      <c r="H43" s="699"/>
      <c r="I43" s="674">
        <f>'Kalkulation Herstellungskosten'!G104/((1+1/6)*1.1041)</f>
        <v>0</v>
      </c>
      <c r="J43" s="675">
        <f t="shared" si="90"/>
        <v>0</v>
      </c>
      <c r="K43" s="675">
        <f t="shared" si="91"/>
        <v>0</v>
      </c>
      <c r="L43" s="667">
        <f t="shared" si="92"/>
        <v>0</v>
      </c>
      <c r="M43" s="675">
        <f>IF(AND('Kalkulation Herstellungskosten'!C104=0,'Kalkulation Herstellungskosten'!C105=0),0,IF(I43/('Kalkulation Herstellungskosten'!C104+'Kalkulation Herstellungskosten'!C105)&gt;SVGrund_lfd_wö,('Kalkulation Herstellungskosten'!C104+'Kalkulation Herstellungskosten'!C105)*Höchst_Woche,I43*SV_lfd))</f>
        <v>0</v>
      </c>
      <c r="N43" s="675">
        <f t="shared" si="31"/>
        <v>0</v>
      </c>
      <c r="O43" s="675">
        <f>IF(I43*10.41%&gt;(0.5833*('Kalkulation Herstellungskosten'!C105+'Kalkulation Herstellungskosten'!C104)*SVGrund_lfd_tä),(0.5833*('Kalkulation Herstellungskosten'!C105+'Kalkulation Herstellungskosten'!C104)*Höchst_Tag),I43*10.41%*SV_lfd)</f>
        <v>0</v>
      </c>
      <c r="P43" s="675">
        <f t="shared" si="32"/>
        <v>0</v>
      </c>
      <c r="Q43" s="675">
        <f t="shared" si="93"/>
        <v>0</v>
      </c>
      <c r="R43" s="675">
        <f t="shared" si="94"/>
        <v>0</v>
      </c>
      <c r="S43" s="675">
        <f t="shared" si="95"/>
        <v>0</v>
      </c>
      <c r="T43" s="675">
        <f t="shared" si="96"/>
        <v>0</v>
      </c>
      <c r="U43" s="675">
        <f>('Kalkulation Herstellungskosten'!C104+'Kalkulation Herstellungskosten'!C105)*U_Bahn</f>
        <v>0</v>
      </c>
      <c r="V43" s="667">
        <f t="shared" si="33"/>
        <v>0</v>
      </c>
      <c r="W43" s="667">
        <f t="shared" si="34"/>
        <v>0</v>
      </c>
      <c r="X43" s="666"/>
      <c r="Y43" s="666"/>
      <c r="Z43" s="666"/>
      <c r="AA43" s="666"/>
      <c r="AB43" s="666"/>
      <c r="AC43" s="666"/>
      <c r="AD43" s="666"/>
      <c r="AE43" s="666"/>
      <c r="AF43" s="666"/>
      <c r="AG43" s="666"/>
      <c r="AH43" s="666"/>
      <c r="AI43" s="666"/>
      <c r="AJ43" s="666"/>
      <c r="AK43" s="666"/>
      <c r="AL43" s="666"/>
      <c r="AM43" s="666"/>
      <c r="AN43" s="666"/>
      <c r="AO43" s="666"/>
      <c r="AP43" s="666"/>
      <c r="AQ43" s="666"/>
      <c r="AR43" s="666"/>
      <c r="AS43" s="666"/>
      <c r="AT43" s="666"/>
      <c r="AU43" s="666"/>
      <c r="AV43" s="666"/>
      <c r="AW43" s="666"/>
      <c r="AX43" s="666"/>
      <c r="AY43" s="666"/>
      <c r="AZ43" s="666"/>
    </row>
    <row r="44" spans="1:52" ht="12.75" customHeight="1" x14ac:dyDescent="0.2">
      <c r="A44" s="706" t="str">
        <f>'Kalkulation Herstellungskosten'!B106</f>
        <v>Produktionsfahrer*in</v>
      </c>
      <c r="B44" s="694"/>
      <c r="C44" s="87"/>
      <c r="D44" s="87"/>
      <c r="E44" s="704">
        <f t="shared" si="17"/>
        <v>0</v>
      </c>
      <c r="F44" s="88"/>
      <c r="G44" s="702">
        <f t="shared" si="18"/>
        <v>0</v>
      </c>
      <c r="H44" s="699"/>
      <c r="I44" s="674">
        <f>'Kalkulation Herstellungskosten'!G106/((1+1/6)*1.1041)</f>
        <v>0</v>
      </c>
      <c r="J44" s="675">
        <f t="shared" ref="J44" si="97">I44/6</f>
        <v>0</v>
      </c>
      <c r="K44" s="675">
        <f t="shared" ref="K44" si="98">(I44+J44)*10.41%</f>
        <v>0</v>
      </c>
      <c r="L44" s="667">
        <f t="shared" ref="L44" si="99">SUM(I44:K44)</f>
        <v>0</v>
      </c>
      <c r="M44" s="675">
        <f>IF(AND('Kalkulation Herstellungskosten'!C106=0,'Kalkulation Herstellungskosten'!C107=0),0,IF(I44/('Kalkulation Herstellungskosten'!C106+'Kalkulation Herstellungskosten'!C107)&gt;SVGrund_lfd_wö,('Kalkulation Herstellungskosten'!C106+'Kalkulation Herstellungskosten'!C107)*Höchst_Woche,I44*SV_lfd))</f>
        <v>0</v>
      </c>
      <c r="N44" s="675">
        <f t="shared" ref="N44" si="100">IF(J44&gt;SVGrund_SZ, Höchst_Mo_SZ,J44*SV_SZ)</f>
        <v>0</v>
      </c>
      <c r="O44" s="675">
        <f>IF(I44*10.41%&gt;(0.5833*('Kalkulation Herstellungskosten'!C107+'Kalkulation Herstellungskosten'!C106)*SVGrund_lfd_tä),(0.5833*('Kalkulation Herstellungskosten'!C107+'Kalkulation Herstellungskosten'!C106)*Höchst_Tag),I44*10.41%*SV_lfd)</f>
        <v>0</v>
      </c>
      <c r="P44" s="675">
        <f t="shared" ref="P44" si="101">IF(J44&gt;SVGrund_SZ,0,IF(J44*10.41%&gt;(SVGrund_SZ-J44),(SVGrund_SZ-J44)*SV_SZ,J44*10.41%*SV_SZ))</f>
        <v>0</v>
      </c>
      <c r="Q44" s="675">
        <f t="shared" ref="Q44" si="102">L44*MV</f>
        <v>0</v>
      </c>
      <c r="R44" s="675">
        <f t="shared" ref="R44" si="103">L44*DB</f>
        <v>0</v>
      </c>
      <c r="S44" s="675">
        <f t="shared" ref="S44" si="104">L44*DZ</f>
        <v>0</v>
      </c>
      <c r="T44" s="675">
        <f t="shared" ref="T44" si="105">L44*KommSt</f>
        <v>0</v>
      </c>
      <c r="U44" s="675">
        <f>('Kalkulation Herstellungskosten'!C106+'Kalkulation Herstellungskosten'!C107)*U_Bahn</f>
        <v>0</v>
      </c>
      <c r="V44" s="667">
        <f t="shared" ref="V44" si="106">SUM(M44:U44)</f>
        <v>0</v>
      </c>
      <c r="W44" s="667">
        <f t="shared" ref="W44" si="107">SUM(L44,V44)</f>
        <v>0</v>
      </c>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6"/>
      <c r="AT44" s="666"/>
      <c r="AU44" s="666"/>
      <c r="AV44" s="666"/>
      <c r="AW44" s="666"/>
      <c r="AX44" s="666"/>
      <c r="AY44" s="666"/>
      <c r="AZ44" s="666"/>
    </row>
    <row r="45" spans="1:52" ht="12.75" customHeight="1" x14ac:dyDescent="0.2">
      <c r="A45" s="706" t="str">
        <f>'Kalkulation Herstellungskosten'!B108</f>
        <v>Produktionsfahrer*in</v>
      </c>
      <c r="B45" s="694"/>
      <c r="C45" s="87"/>
      <c r="D45" s="87"/>
      <c r="E45" s="704">
        <f t="shared" ref="E45" si="108">IF(C45=0,0,(D45-C45+1)/7)</f>
        <v>0</v>
      </c>
      <c r="F45" s="88"/>
      <c r="G45" s="702">
        <f t="shared" ref="G45" si="109">E45*F45</f>
        <v>0</v>
      </c>
      <c r="H45" s="699"/>
      <c r="I45" s="674">
        <f>'Kalkulation Herstellungskosten'!G108/((1+1/6)*1.1041)</f>
        <v>0</v>
      </c>
      <c r="J45" s="675">
        <f t="shared" ref="J45" si="110">I45/6</f>
        <v>0</v>
      </c>
      <c r="K45" s="675">
        <f t="shared" ref="K45" si="111">(I45+J45)*10.41%</f>
        <v>0</v>
      </c>
      <c r="L45" s="667">
        <f t="shared" ref="L45" si="112">SUM(I45:K45)</f>
        <v>0</v>
      </c>
      <c r="M45" s="675">
        <f>IF(AND('Kalkulation Herstellungskosten'!C108=0,'Kalkulation Herstellungskosten'!C109=0),0,IF(I45/('Kalkulation Herstellungskosten'!C108+'Kalkulation Herstellungskosten'!C109)&gt;SVGrund_lfd_wö,('Kalkulation Herstellungskosten'!C108+'Kalkulation Herstellungskosten'!C109)*Höchst_Woche,I45*SV_lfd))</f>
        <v>0</v>
      </c>
      <c r="N45" s="675">
        <f t="shared" ref="N45" si="113">IF(J45&gt;SVGrund_SZ, Höchst_Mo_SZ,J45*SV_SZ)</f>
        <v>0</v>
      </c>
      <c r="O45" s="675">
        <f>IF(I45*10.41%&gt;(0.5833*('Kalkulation Herstellungskosten'!C109+'Kalkulation Herstellungskosten'!C108)*SVGrund_lfd_tä),(0.5833*('Kalkulation Herstellungskosten'!C109+'Kalkulation Herstellungskosten'!C108)*Höchst_Tag),I45*10.41%*SV_lfd)</f>
        <v>0</v>
      </c>
      <c r="P45" s="675">
        <f t="shared" ref="P45" si="114">IF(J45&gt;SVGrund_SZ,0,IF(J45*10.41%&gt;(SVGrund_SZ-J45),(SVGrund_SZ-J45)*SV_SZ,J45*10.41%*SV_SZ))</f>
        <v>0</v>
      </c>
      <c r="Q45" s="675">
        <f t="shared" ref="Q45" si="115">L45*MV</f>
        <v>0</v>
      </c>
      <c r="R45" s="675">
        <f t="shared" ref="R45" si="116">L45*DB</f>
        <v>0</v>
      </c>
      <c r="S45" s="675">
        <f t="shared" ref="S45" si="117">L45*DZ</f>
        <v>0</v>
      </c>
      <c r="T45" s="675">
        <f t="shared" ref="T45" si="118">L45*KommSt</f>
        <v>0</v>
      </c>
      <c r="U45" s="675">
        <f>('Kalkulation Herstellungskosten'!C108+'Kalkulation Herstellungskosten'!C109)*U_Bahn</f>
        <v>0</v>
      </c>
      <c r="V45" s="667">
        <f t="shared" ref="V45" si="119">SUM(M45:U45)</f>
        <v>0</v>
      </c>
      <c r="W45" s="667">
        <f t="shared" ref="W45" si="120">SUM(L45,V45)</f>
        <v>0</v>
      </c>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6"/>
      <c r="AT45" s="666"/>
      <c r="AU45" s="666"/>
      <c r="AV45" s="666"/>
      <c r="AW45" s="666"/>
      <c r="AX45" s="666"/>
      <c r="AY45" s="666"/>
      <c r="AZ45" s="666"/>
    </row>
    <row r="46" spans="1:52" ht="12.75" customHeight="1" x14ac:dyDescent="0.2">
      <c r="A46" s="706" t="str">
        <f>'Kalkulation Herstellungskosten'!B110</f>
        <v>Produktionsfahrer*in</v>
      </c>
      <c r="B46" s="694"/>
      <c r="C46" s="87"/>
      <c r="D46" s="87"/>
      <c r="E46" s="704">
        <f t="shared" ref="E46" si="121">IF(C46=0,0,(D46-C46+1)/7)</f>
        <v>0</v>
      </c>
      <c r="F46" s="88"/>
      <c r="G46" s="702">
        <f t="shared" ref="G46" si="122">E46*F46</f>
        <v>0</v>
      </c>
      <c r="H46" s="699"/>
      <c r="I46" s="674">
        <f>'Kalkulation Herstellungskosten'!G110/((1+1/6)*1.1041)</f>
        <v>0</v>
      </c>
      <c r="J46" s="675">
        <f t="shared" ref="J46" si="123">I46/6</f>
        <v>0</v>
      </c>
      <c r="K46" s="675">
        <f t="shared" ref="K46" si="124">(I46+J46)*10.41%</f>
        <v>0</v>
      </c>
      <c r="L46" s="667">
        <f t="shared" ref="L46" si="125">SUM(I46:K46)</f>
        <v>0</v>
      </c>
      <c r="M46" s="675">
        <f>IF(AND('Kalkulation Herstellungskosten'!C110=0,'Kalkulation Herstellungskosten'!C111=0),0,IF(I46/('Kalkulation Herstellungskosten'!C110+'Kalkulation Herstellungskosten'!C111)&gt;SVGrund_lfd_wö,('Kalkulation Herstellungskosten'!C110+'Kalkulation Herstellungskosten'!C111)*Höchst_Woche,I46*SV_lfd))</f>
        <v>0</v>
      </c>
      <c r="N46" s="675">
        <f t="shared" ref="N46" si="126">IF(J46&gt;SVGrund_SZ, Höchst_Mo_SZ,J46*SV_SZ)</f>
        <v>0</v>
      </c>
      <c r="O46" s="675">
        <f>IF(I46*10.41%&gt;(0.5833*('Kalkulation Herstellungskosten'!C111+'Kalkulation Herstellungskosten'!C110)*SVGrund_lfd_tä),(0.5833*('Kalkulation Herstellungskosten'!C111+'Kalkulation Herstellungskosten'!C110)*Höchst_Tag),I46*10.41%*SV_lfd)</f>
        <v>0</v>
      </c>
      <c r="P46" s="675">
        <f t="shared" ref="P46" si="127">IF(J46&gt;SVGrund_SZ,0,IF(J46*10.41%&gt;(SVGrund_SZ-J46),(SVGrund_SZ-J46)*SV_SZ,J46*10.41%*SV_SZ))</f>
        <v>0</v>
      </c>
      <c r="Q46" s="675">
        <f t="shared" ref="Q46" si="128">L46*MV</f>
        <v>0</v>
      </c>
      <c r="R46" s="675">
        <f t="shared" ref="R46" si="129">L46*DB</f>
        <v>0</v>
      </c>
      <c r="S46" s="675">
        <f t="shared" ref="S46" si="130">L46*DZ</f>
        <v>0</v>
      </c>
      <c r="T46" s="675">
        <f t="shared" ref="T46" si="131">L46*KommSt</f>
        <v>0</v>
      </c>
      <c r="U46" s="675">
        <f>('Kalkulation Herstellungskosten'!C110+'Kalkulation Herstellungskosten'!C111)*U_Bahn</f>
        <v>0</v>
      </c>
      <c r="V46" s="667">
        <f t="shared" ref="V46" si="132">SUM(M46:U46)</f>
        <v>0</v>
      </c>
      <c r="W46" s="667">
        <f t="shared" ref="W46" si="133">SUM(L46,V46)</f>
        <v>0</v>
      </c>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6"/>
      <c r="AT46" s="666"/>
      <c r="AU46" s="666"/>
      <c r="AV46" s="666"/>
      <c r="AW46" s="666"/>
      <c r="AX46" s="666"/>
      <c r="AY46" s="666"/>
      <c r="AZ46" s="666"/>
    </row>
    <row r="47" spans="1:52" ht="12.75" customHeight="1" x14ac:dyDescent="0.2">
      <c r="A47" s="706" t="str">
        <f>'Kalkulation Herstellungskosten'!B112</f>
        <v>Oberbeleuchter*in</v>
      </c>
      <c r="B47" s="694"/>
      <c r="C47" s="87"/>
      <c r="D47" s="87"/>
      <c r="E47" s="704">
        <f t="shared" si="17"/>
        <v>0</v>
      </c>
      <c r="F47" s="88"/>
      <c r="G47" s="702">
        <f t="shared" si="18"/>
        <v>0</v>
      </c>
      <c r="H47" s="699"/>
      <c r="I47" s="674">
        <f>'Kalkulation Herstellungskosten'!G112/((1+1/6)*1.1041)</f>
        <v>0</v>
      </c>
      <c r="J47" s="675">
        <f t="shared" si="90"/>
        <v>0</v>
      </c>
      <c r="K47" s="675">
        <f t="shared" si="91"/>
        <v>0</v>
      </c>
      <c r="L47" s="667">
        <f t="shared" si="92"/>
        <v>0</v>
      </c>
      <c r="M47" s="675">
        <f>IF(AND('Kalkulation Herstellungskosten'!C112=0,'Kalkulation Herstellungskosten'!C113=0),0,IF(I47/('Kalkulation Herstellungskosten'!C112+'Kalkulation Herstellungskosten'!C113)&gt;SVGrund_lfd_wö,('Kalkulation Herstellungskosten'!C112+'Kalkulation Herstellungskosten'!C113)*Höchst_Woche,I47*SV_lfd))</f>
        <v>0</v>
      </c>
      <c r="N47" s="675">
        <f t="shared" si="31"/>
        <v>0</v>
      </c>
      <c r="O47" s="675">
        <f>IF(I47*10.41%&gt;(0.5833*('Kalkulation Herstellungskosten'!C113+'Kalkulation Herstellungskosten'!C112)*SVGrund_lfd_tä),(0.5833*('Kalkulation Herstellungskosten'!C113+'Kalkulation Herstellungskosten'!C112)*Höchst_Tag),I47*10.41%*SV_lfd)</f>
        <v>0</v>
      </c>
      <c r="P47" s="675">
        <f t="shared" ref="P47:P56" si="134">IF(J47&gt;SVGrund_SZ,0,IF(J47*10.41%&gt;(SVGrund_SZ-J47),(SVGrund_SZ-J47)*SV_SZ,J47*10.41%*SV_SZ))</f>
        <v>0</v>
      </c>
      <c r="Q47" s="675">
        <f t="shared" si="93"/>
        <v>0</v>
      </c>
      <c r="R47" s="675">
        <f t="shared" si="94"/>
        <v>0</v>
      </c>
      <c r="S47" s="675">
        <f t="shared" si="95"/>
        <v>0</v>
      </c>
      <c r="T47" s="675">
        <f t="shared" si="96"/>
        <v>0</v>
      </c>
      <c r="U47" s="675">
        <f>('Kalkulation Herstellungskosten'!C112+'Kalkulation Herstellungskosten'!C113)*U_Bahn</f>
        <v>0</v>
      </c>
      <c r="V47" s="667">
        <f t="shared" si="33"/>
        <v>0</v>
      </c>
      <c r="W47" s="667">
        <f t="shared" ref="W47:W56" si="135">SUM(L47,V47)</f>
        <v>0</v>
      </c>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6"/>
      <c r="AT47" s="666"/>
      <c r="AU47" s="666"/>
      <c r="AV47" s="666"/>
      <c r="AW47" s="666"/>
      <c r="AX47" s="666"/>
      <c r="AY47" s="666"/>
      <c r="AZ47" s="666"/>
    </row>
    <row r="48" spans="1:52" ht="12.75" customHeight="1" x14ac:dyDescent="0.2">
      <c r="A48" s="706" t="str">
        <f>'Kalkulation Herstellungskosten'!B114</f>
        <v>Beleuchter*in</v>
      </c>
      <c r="B48" s="694"/>
      <c r="C48" s="87"/>
      <c r="D48" s="87"/>
      <c r="E48" s="704">
        <f t="shared" si="17"/>
        <v>0</v>
      </c>
      <c r="F48" s="88"/>
      <c r="G48" s="702">
        <f t="shared" si="18"/>
        <v>0</v>
      </c>
      <c r="H48" s="699"/>
      <c r="I48" s="674">
        <f>'Kalkulation Herstellungskosten'!G114/((1+1/6)*1.1041)</f>
        <v>0</v>
      </c>
      <c r="J48" s="675">
        <f t="shared" si="90"/>
        <v>0</v>
      </c>
      <c r="K48" s="675">
        <f t="shared" si="91"/>
        <v>0</v>
      </c>
      <c r="L48" s="667">
        <f t="shared" si="92"/>
        <v>0</v>
      </c>
      <c r="M48" s="675">
        <f>IF(AND('Kalkulation Herstellungskosten'!C114=0,'Kalkulation Herstellungskosten'!C115=0),0,IF(I48/('Kalkulation Herstellungskosten'!C114+'Kalkulation Herstellungskosten'!C115)&gt;SVGrund_lfd_wö,('Kalkulation Herstellungskosten'!C114+'Kalkulation Herstellungskosten'!C115)*Höchst_Woche,I48*SV_lfd))</f>
        <v>0</v>
      </c>
      <c r="N48" s="675">
        <f t="shared" si="31"/>
        <v>0</v>
      </c>
      <c r="O48" s="675">
        <f>IF(I48*10.41%&gt;(0.5833*('Kalkulation Herstellungskosten'!C115+'Kalkulation Herstellungskosten'!C114)*SVGrund_lfd_tä),(0.5833*('Kalkulation Herstellungskosten'!C115+'Kalkulation Herstellungskosten'!C114)*Höchst_Tag),I48*10.41%*SV_lfd)</f>
        <v>0</v>
      </c>
      <c r="P48" s="675">
        <f t="shared" si="134"/>
        <v>0</v>
      </c>
      <c r="Q48" s="675">
        <f t="shared" si="93"/>
        <v>0</v>
      </c>
      <c r="R48" s="675">
        <f t="shared" si="94"/>
        <v>0</v>
      </c>
      <c r="S48" s="675">
        <f t="shared" si="95"/>
        <v>0</v>
      </c>
      <c r="T48" s="675">
        <f t="shared" si="96"/>
        <v>0</v>
      </c>
      <c r="U48" s="675">
        <f>('Kalkulation Herstellungskosten'!C114+'Kalkulation Herstellungskosten'!C115)*U_Bahn</f>
        <v>0</v>
      </c>
      <c r="V48" s="667">
        <f t="shared" si="33"/>
        <v>0</v>
      </c>
      <c r="W48" s="667">
        <f t="shared" si="135"/>
        <v>0</v>
      </c>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6"/>
      <c r="AT48" s="666"/>
      <c r="AU48" s="666"/>
      <c r="AV48" s="666"/>
      <c r="AW48" s="666"/>
      <c r="AX48" s="666"/>
      <c r="AY48" s="666"/>
      <c r="AZ48" s="666"/>
    </row>
    <row r="49" spans="1:52" ht="12.75" customHeight="1" x14ac:dyDescent="0.2">
      <c r="A49" s="706" t="str">
        <f>'Kalkulation Herstellungskosten'!B116</f>
        <v>Beleuchter*in</v>
      </c>
      <c r="B49" s="694"/>
      <c r="C49" s="87"/>
      <c r="D49" s="87"/>
      <c r="E49" s="704">
        <f t="shared" si="17"/>
        <v>0</v>
      </c>
      <c r="F49" s="88"/>
      <c r="G49" s="702">
        <f t="shared" si="18"/>
        <v>0</v>
      </c>
      <c r="H49" s="699"/>
      <c r="I49" s="674">
        <f>'Kalkulation Herstellungskosten'!G116/((1+1/6)*1.1041)</f>
        <v>0</v>
      </c>
      <c r="J49" s="675">
        <f t="shared" si="90"/>
        <v>0</v>
      </c>
      <c r="K49" s="675">
        <f t="shared" si="91"/>
        <v>0</v>
      </c>
      <c r="L49" s="667">
        <f t="shared" si="92"/>
        <v>0</v>
      </c>
      <c r="M49" s="675">
        <f>IF(AND('Kalkulation Herstellungskosten'!C116=0,'Kalkulation Herstellungskosten'!C117=0),0,IF(I49/('Kalkulation Herstellungskosten'!C116+'Kalkulation Herstellungskosten'!C117)&gt;SVGrund_lfd_wö,('Kalkulation Herstellungskosten'!C116+'Kalkulation Herstellungskosten'!C117)*Höchst_Woche,I49*SV_lfd))</f>
        <v>0</v>
      </c>
      <c r="N49" s="675">
        <f t="shared" si="31"/>
        <v>0</v>
      </c>
      <c r="O49" s="675">
        <f>IF(I49*10.41%&gt;(0.5833*('Kalkulation Herstellungskosten'!C117+'Kalkulation Herstellungskosten'!C116)*SVGrund_lfd_tä),(0.5833*('Kalkulation Herstellungskosten'!C117+'Kalkulation Herstellungskosten'!C116)*Höchst_Tag),I49*10.41%*SV_lfd)</f>
        <v>0</v>
      </c>
      <c r="P49" s="675">
        <f t="shared" si="134"/>
        <v>0</v>
      </c>
      <c r="Q49" s="675">
        <f t="shared" si="93"/>
        <v>0</v>
      </c>
      <c r="R49" s="675">
        <f t="shared" si="94"/>
        <v>0</v>
      </c>
      <c r="S49" s="675">
        <f t="shared" si="95"/>
        <v>0</v>
      </c>
      <c r="T49" s="675">
        <f t="shared" si="96"/>
        <v>0</v>
      </c>
      <c r="U49" s="675">
        <f>('Kalkulation Herstellungskosten'!C116+'Kalkulation Herstellungskosten'!C117)*U_Bahn</f>
        <v>0</v>
      </c>
      <c r="V49" s="667">
        <f t="shared" si="33"/>
        <v>0</v>
      </c>
      <c r="W49" s="667">
        <f t="shared" si="135"/>
        <v>0</v>
      </c>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6"/>
      <c r="AT49" s="666"/>
      <c r="AU49" s="666"/>
      <c r="AV49" s="666"/>
      <c r="AW49" s="666"/>
      <c r="AX49" s="666"/>
      <c r="AY49" s="666"/>
      <c r="AZ49" s="666"/>
    </row>
    <row r="50" spans="1:52" ht="12.75" customHeight="1" x14ac:dyDescent="0.2">
      <c r="A50" s="706" t="str">
        <f>'Kalkulation Herstellungskosten'!B118</f>
        <v>Beleuchter*in</v>
      </c>
      <c r="B50" s="694"/>
      <c r="C50" s="87"/>
      <c r="D50" s="87"/>
      <c r="E50" s="704">
        <f t="shared" si="17"/>
        <v>0</v>
      </c>
      <c r="F50" s="88"/>
      <c r="G50" s="702">
        <f t="shared" si="18"/>
        <v>0</v>
      </c>
      <c r="H50" s="699"/>
      <c r="I50" s="674">
        <f>'Kalkulation Herstellungskosten'!G118/((1+1/6)*1.1041)</f>
        <v>0</v>
      </c>
      <c r="J50" s="675">
        <f t="shared" si="90"/>
        <v>0</v>
      </c>
      <c r="K50" s="675">
        <f t="shared" si="91"/>
        <v>0</v>
      </c>
      <c r="L50" s="667">
        <f t="shared" si="92"/>
        <v>0</v>
      </c>
      <c r="M50" s="675">
        <f>IF(AND('Kalkulation Herstellungskosten'!C118=0,'Kalkulation Herstellungskosten'!C119=0),0,IF(I50/('Kalkulation Herstellungskosten'!C118+'Kalkulation Herstellungskosten'!C119)&gt;SVGrund_lfd_wö,('Kalkulation Herstellungskosten'!C118+'Kalkulation Herstellungskosten'!C119)*Höchst_Woche,I50*SV_lfd))</f>
        <v>0</v>
      </c>
      <c r="N50" s="675">
        <f t="shared" si="31"/>
        <v>0</v>
      </c>
      <c r="O50" s="675">
        <f>IF(I50*10.41%&gt;(0.5833*('Kalkulation Herstellungskosten'!C119+'Kalkulation Herstellungskosten'!C118)*SVGrund_lfd_tä),(0.5833*('Kalkulation Herstellungskosten'!C119+'Kalkulation Herstellungskosten'!C118)*Höchst_Tag),I50*10.41%*SV_lfd)</f>
        <v>0</v>
      </c>
      <c r="P50" s="675">
        <f t="shared" si="134"/>
        <v>0</v>
      </c>
      <c r="Q50" s="675">
        <f t="shared" si="93"/>
        <v>0</v>
      </c>
      <c r="R50" s="675">
        <f t="shared" si="94"/>
        <v>0</v>
      </c>
      <c r="S50" s="675">
        <f t="shared" si="95"/>
        <v>0</v>
      </c>
      <c r="T50" s="675">
        <f t="shared" si="96"/>
        <v>0</v>
      </c>
      <c r="U50" s="675">
        <f>('Kalkulation Herstellungskosten'!C118+'Kalkulation Herstellungskosten'!C119)*U_Bahn</f>
        <v>0</v>
      </c>
      <c r="V50" s="667">
        <f t="shared" si="33"/>
        <v>0</v>
      </c>
      <c r="W50" s="667">
        <f t="shared" si="135"/>
        <v>0</v>
      </c>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6"/>
      <c r="AT50" s="666"/>
      <c r="AU50" s="666"/>
      <c r="AV50" s="666"/>
      <c r="AW50" s="666"/>
      <c r="AX50" s="666"/>
      <c r="AY50" s="666"/>
      <c r="AZ50" s="666"/>
    </row>
    <row r="51" spans="1:52" ht="12.75" customHeight="1" x14ac:dyDescent="0.2">
      <c r="A51" s="706" t="str">
        <f>'Kalkulation Herstellungskosten'!B120</f>
        <v>Bühnenmeister*in</v>
      </c>
      <c r="B51" s="694"/>
      <c r="C51" s="87"/>
      <c r="D51" s="87"/>
      <c r="E51" s="704">
        <f t="shared" si="17"/>
        <v>0</v>
      </c>
      <c r="F51" s="88"/>
      <c r="G51" s="702">
        <f t="shared" si="18"/>
        <v>0</v>
      </c>
      <c r="H51" s="699"/>
      <c r="I51" s="674">
        <f>'Kalkulation Herstellungskosten'!G120/((1+1/6)*1.1041)</f>
        <v>0</v>
      </c>
      <c r="J51" s="675">
        <f t="shared" si="90"/>
        <v>0</v>
      </c>
      <c r="K51" s="675">
        <f t="shared" si="91"/>
        <v>0</v>
      </c>
      <c r="L51" s="667">
        <f t="shared" si="92"/>
        <v>0</v>
      </c>
      <c r="M51" s="675">
        <f>IF(AND('Kalkulation Herstellungskosten'!C120=0,'Kalkulation Herstellungskosten'!C121=0),0,IF(I51/('Kalkulation Herstellungskosten'!C120+'Kalkulation Herstellungskosten'!C121)&gt;SVGrund_lfd_wö,('Kalkulation Herstellungskosten'!C120+'Kalkulation Herstellungskosten'!C121)*Höchst_Woche,I51*SV_lfd))</f>
        <v>0</v>
      </c>
      <c r="N51" s="675">
        <f t="shared" si="31"/>
        <v>0</v>
      </c>
      <c r="O51" s="675">
        <f>IF(I51*10.41%&gt;(0.5833*('Kalkulation Herstellungskosten'!C121+'Kalkulation Herstellungskosten'!C120)*SVGrund_lfd_tä),(0.5833*('Kalkulation Herstellungskosten'!C121+'Kalkulation Herstellungskosten'!C120)*Höchst_Tag),I51*10.41%*SV_lfd)</f>
        <v>0</v>
      </c>
      <c r="P51" s="675">
        <f t="shared" si="134"/>
        <v>0</v>
      </c>
      <c r="Q51" s="675">
        <f t="shared" si="93"/>
        <v>0</v>
      </c>
      <c r="R51" s="675">
        <f t="shared" si="94"/>
        <v>0</v>
      </c>
      <c r="S51" s="675">
        <f t="shared" si="95"/>
        <v>0</v>
      </c>
      <c r="T51" s="675">
        <f t="shared" si="96"/>
        <v>0</v>
      </c>
      <c r="U51" s="675">
        <f>('Kalkulation Herstellungskosten'!C120+'Kalkulation Herstellungskosten'!C121)*U_Bahn</f>
        <v>0</v>
      </c>
      <c r="V51" s="667">
        <f t="shared" si="33"/>
        <v>0</v>
      </c>
      <c r="W51" s="667">
        <f t="shared" si="135"/>
        <v>0</v>
      </c>
      <c r="X51" s="666"/>
      <c r="Y51" s="666"/>
      <c r="Z51" s="666"/>
      <c r="AA51" s="666"/>
      <c r="AB51" s="666"/>
      <c r="AC51" s="666"/>
      <c r="AD51" s="666"/>
      <c r="AE51" s="666"/>
      <c r="AF51" s="666"/>
      <c r="AG51" s="666"/>
      <c r="AH51" s="666"/>
      <c r="AI51" s="666"/>
      <c r="AJ51" s="666"/>
      <c r="AK51" s="666"/>
      <c r="AL51" s="666"/>
      <c r="AM51" s="666"/>
      <c r="AN51" s="666"/>
      <c r="AO51" s="666"/>
      <c r="AP51" s="666"/>
      <c r="AQ51" s="666"/>
      <c r="AR51" s="666"/>
      <c r="AS51" s="666"/>
      <c r="AT51" s="666"/>
      <c r="AU51" s="666"/>
      <c r="AV51" s="666"/>
      <c r="AW51" s="666"/>
      <c r="AX51" s="666"/>
      <c r="AY51" s="666"/>
      <c r="AZ51" s="666"/>
    </row>
    <row r="52" spans="1:52" ht="12.75" customHeight="1" x14ac:dyDescent="0.2">
      <c r="A52" s="706" t="str">
        <f>'Kalkulation Herstellungskosten'!B122</f>
        <v>Bühne</v>
      </c>
      <c r="B52" s="694"/>
      <c r="C52" s="87"/>
      <c r="D52" s="87"/>
      <c r="E52" s="704">
        <f t="shared" si="17"/>
        <v>0</v>
      </c>
      <c r="F52" s="88"/>
      <c r="G52" s="702">
        <f t="shared" si="18"/>
        <v>0</v>
      </c>
      <c r="H52" s="699"/>
      <c r="I52" s="674">
        <f>'Kalkulation Herstellungskosten'!G122/((1+1/6)*1.1041)</f>
        <v>0</v>
      </c>
      <c r="J52" s="675">
        <f t="shared" si="90"/>
        <v>0</v>
      </c>
      <c r="K52" s="675">
        <f t="shared" si="91"/>
        <v>0</v>
      </c>
      <c r="L52" s="667">
        <f t="shared" si="92"/>
        <v>0</v>
      </c>
      <c r="M52" s="675">
        <f>IF(AND('Kalkulation Herstellungskosten'!C122=0,'Kalkulation Herstellungskosten'!C123=0),0,IF(I52/('Kalkulation Herstellungskosten'!C122+'Kalkulation Herstellungskosten'!C123)&gt;SVGrund_lfd_wö,('Kalkulation Herstellungskosten'!C122+'Kalkulation Herstellungskosten'!C123)*Höchst_Woche,I52*SV_lfd))</f>
        <v>0</v>
      </c>
      <c r="N52" s="675">
        <f t="shared" si="31"/>
        <v>0</v>
      </c>
      <c r="O52" s="675">
        <f>IF(I52*10.41%&gt;(0.5833*('Kalkulation Herstellungskosten'!C123+'Kalkulation Herstellungskosten'!C122)*SVGrund_lfd_tä),(0.5833*('Kalkulation Herstellungskosten'!C123+'Kalkulation Herstellungskosten'!C122)*Höchst_Tag),I52*10.41%*SV_lfd)</f>
        <v>0</v>
      </c>
      <c r="P52" s="675">
        <f t="shared" si="134"/>
        <v>0</v>
      </c>
      <c r="Q52" s="675">
        <f t="shared" si="93"/>
        <v>0</v>
      </c>
      <c r="R52" s="675">
        <f t="shared" si="94"/>
        <v>0</v>
      </c>
      <c r="S52" s="675">
        <f t="shared" si="95"/>
        <v>0</v>
      </c>
      <c r="T52" s="675">
        <f t="shared" si="96"/>
        <v>0</v>
      </c>
      <c r="U52" s="675">
        <f>('Kalkulation Herstellungskosten'!C122+'Kalkulation Herstellungskosten'!C123)*U_Bahn</f>
        <v>0</v>
      </c>
      <c r="V52" s="667">
        <f t="shared" si="33"/>
        <v>0</v>
      </c>
      <c r="W52" s="667">
        <f t="shared" si="135"/>
        <v>0</v>
      </c>
      <c r="X52" s="666"/>
      <c r="Y52" s="666"/>
      <c r="Z52" s="666"/>
      <c r="AA52" s="666"/>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row>
    <row r="53" spans="1:52" ht="12.75" customHeight="1" x14ac:dyDescent="0.2">
      <c r="A53" s="706" t="str">
        <f>'Kalkulation Herstellungskosten'!B124</f>
        <v>Bühne</v>
      </c>
      <c r="B53" s="694"/>
      <c r="C53" s="87"/>
      <c r="D53" s="87"/>
      <c r="E53" s="704">
        <f t="shared" si="17"/>
        <v>0</v>
      </c>
      <c r="F53" s="88"/>
      <c r="G53" s="702">
        <f t="shared" si="18"/>
        <v>0</v>
      </c>
      <c r="H53" s="699"/>
      <c r="I53" s="674">
        <f>'Kalkulation Herstellungskosten'!G124/((1+1/6)*1.1041)</f>
        <v>0</v>
      </c>
      <c r="J53" s="675">
        <f t="shared" si="90"/>
        <v>0</v>
      </c>
      <c r="K53" s="675">
        <f t="shared" si="91"/>
        <v>0</v>
      </c>
      <c r="L53" s="667">
        <f t="shared" si="92"/>
        <v>0</v>
      </c>
      <c r="M53" s="675">
        <f>IF(AND('Kalkulation Herstellungskosten'!C124=0,'Kalkulation Herstellungskosten'!C125=0),0,IF(I53/('Kalkulation Herstellungskosten'!C124+'Kalkulation Herstellungskosten'!C125)&gt;SVGrund_lfd_wö,('Kalkulation Herstellungskosten'!C124+'Kalkulation Herstellungskosten'!C125)*Höchst_Woche,I53*SV_lfd))</f>
        <v>0</v>
      </c>
      <c r="N53" s="675">
        <f t="shared" si="31"/>
        <v>0</v>
      </c>
      <c r="O53" s="675">
        <f>IF(I53*10.41%&gt;(0.5833*('Kalkulation Herstellungskosten'!C125+'Kalkulation Herstellungskosten'!C124)*SVGrund_lfd_tä),(0.5833*('Kalkulation Herstellungskosten'!C125+'Kalkulation Herstellungskosten'!C124)*Höchst_Tag),I53*10.41%*SV_lfd)</f>
        <v>0</v>
      </c>
      <c r="P53" s="675">
        <f t="shared" si="134"/>
        <v>0</v>
      </c>
      <c r="Q53" s="675">
        <f t="shared" si="93"/>
        <v>0</v>
      </c>
      <c r="R53" s="675">
        <f t="shared" si="94"/>
        <v>0</v>
      </c>
      <c r="S53" s="675">
        <f t="shared" si="95"/>
        <v>0</v>
      </c>
      <c r="T53" s="675">
        <f t="shared" si="96"/>
        <v>0</v>
      </c>
      <c r="U53" s="675">
        <f>('Kalkulation Herstellungskosten'!C124+'Kalkulation Herstellungskosten'!C125)*U_Bahn</f>
        <v>0</v>
      </c>
      <c r="V53" s="667">
        <f t="shared" si="33"/>
        <v>0</v>
      </c>
      <c r="W53" s="667">
        <f t="shared" si="135"/>
        <v>0</v>
      </c>
      <c r="X53" s="666"/>
      <c r="Y53" s="666"/>
      <c r="Z53" s="666"/>
      <c r="AA53" s="666"/>
      <c r="AB53" s="666"/>
      <c r="AC53" s="666"/>
      <c r="AD53" s="666"/>
      <c r="AE53" s="666"/>
      <c r="AF53" s="666"/>
      <c r="AG53" s="666"/>
      <c r="AH53" s="666"/>
      <c r="AI53" s="666"/>
      <c r="AJ53" s="666"/>
      <c r="AK53" s="666"/>
      <c r="AL53" s="666"/>
      <c r="AM53" s="666"/>
      <c r="AN53" s="666"/>
      <c r="AO53" s="666"/>
      <c r="AP53" s="666"/>
      <c r="AQ53" s="666"/>
      <c r="AR53" s="666"/>
      <c r="AS53" s="666"/>
      <c r="AT53" s="666"/>
      <c r="AU53" s="666"/>
      <c r="AV53" s="666"/>
      <c r="AW53" s="666"/>
      <c r="AX53" s="666"/>
      <c r="AY53" s="666"/>
      <c r="AZ53" s="666"/>
    </row>
    <row r="54" spans="1:52" ht="12.75" customHeight="1" x14ac:dyDescent="0.2">
      <c r="A54" s="706" t="str">
        <f>'Kalkulation Herstellungskosten'!B126</f>
        <v>Bühne</v>
      </c>
      <c r="B54" s="694"/>
      <c r="C54" s="87"/>
      <c r="D54" s="87"/>
      <c r="E54" s="704">
        <f t="shared" si="17"/>
        <v>0</v>
      </c>
      <c r="F54" s="88"/>
      <c r="G54" s="702">
        <f t="shared" si="18"/>
        <v>0</v>
      </c>
      <c r="H54" s="699"/>
      <c r="I54" s="674">
        <f>'Kalkulation Herstellungskosten'!G126/((1+1/6)*1.1041)</f>
        <v>0</v>
      </c>
      <c r="J54" s="675">
        <f t="shared" si="90"/>
        <v>0</v>
      </c>
      <c r="K54" s="675">
        <f t="shared" si="91"/>
        <v>0</v>
      </c>
      <c r="L54" s="667">
        <f t="shared" si="92"/>
        <v>0</v>
      </c>
      <c r="M54" s="675">
        <f>IF(AND('Kalkulation Herstellungskosten'!C126=0,'Kalkulation Herstellungskosten'!C127=0),0,IF(I54/('Kalkulation Herstellungskosten'!C126+'Kalkulation Herstellungskosten'!C127)&gt;SVGrund_lfd_wö,('Kalkulation Herstellungskosten'!C126+'Kalkulation Herstellungskosten'!C127)*Höchst_Woche,I54*SV_lfd))</f>
        <v>0</v>
      </c>
      <c r="N54" s="675">
        <f t="shared" si="31"/>
        <v>0</v>
      </c>
      <c r="O54" s="675">
        <f>IF(I54*10.41%&gt;(0.5833*('Kalkulation Herstellungskosten'!C127+'Kalkulation Herstellungskosten'!C126)*SVGrund_lfd_tä),(0.5833*('Kalkulation Herstellungskosten'!C127+'Kalkulation Herstellungskosten'!C126)*Höchst_Tag),I54*10.41%*SV_lfd)</f>
        <v>0</v>
      </c>
      <c r="P54" s="675">
        <f t="shared" si="134"/>
        <v>0</v>
      </c>
      <c r="Q54" s="675">
        <f t="shared" si="93"/>
        <v>0</v>
      </c>
      <c r="R54" s="675">
        <f t="shared" si="94"/>
        <v>0</v>
      </c>
      <c r="S54" s="675">
        <f t="shared" si="95"/>
        <v>0</v>
      </c>
      <c r="T54" s="675">
        <f t="shared" si="96"/>
        <v>0</v>
      </c>
      <c r="U54" s="675">
        <f>('Kalkulation Herstellungskosten'!C126+'Kalkulation Herstellungskosten'!C127)*U_Bahn</f>
        <v>0</v>
      </c>
      <c r="V54" s="667">
        <f t="shared" si="33"/>
        <v>0</v>
      </c>
      <c r="W54" s="667">
        <f t="shared" si="135"/>
        <v>0</v>
      </c>
      <c r="X54" s="666"/>
      <c r="Y54" s="666"/>
      <c r="Z54" s="666"/>
      <c r="AA54" s="666"/>
      <c r="AB54" s="666"/>
      <c r="AC54" s="666"/>
      <c r="AD54" s="666"/>
      <c r="AE54" s="666"/>
      <c r="AF54" s="666"/>
      <c r="AG54" s="666"/>
      <c r="AH54" s="666"/>
      <c r="AI54" s="666"/>
      <c r="AJ54" s="666"/>
      <c r="AK54" s="666"/>
      <c r="AL54" s="666"/>
      <c r="AM54" s="666"/>
      <c r="AN54" s="666"/>
      <c r="AO54" s="666"/>
      <c r="AP54" s="666"/>
      <c r="AQ54" s="666"/>
      <c r="AR54" s="666"/>
      <c r="AS54" s="666"/>
      <c r="AT54" s="666"/>
      <c r="AU54" s="666"/>
      <c r="AV54" s="666"/>
      <c r="AW54" s="666"/>
      <c r="AX54" s="666"/>
      <c r="AY54" s="666"/>
      <c r="AZ54" s="666"/>
    </row>
    <row r="55" spans="1:52" ht="12.75" customHeight="1" x14ac:dyDescent="0.2">
      <c r="A55" s="706" t="str">
        <f>'Kalkulation Herstellungskosten'!B128</f>
        <v>Musikaufnahmeleiter*in</v>
      </c>
      <c r="B55" s="694"/>
      <c r="C55" s="87"/>
      <c r="D55" s="87"/>
      <c r="E55" s="704">
        <f t="shared" si="17"/>
        <v>0</v>
      </c>
      <c r="F55" s="88"/>
      <c r="G55" s="702">
        <f t="shared" si="18"/>
        <v>0</v>
      </c>
      <c r="H55" s="699"/>
      <c r="I55" s="674">
        <f>'Kalkulation Herstellungskosten'!G128/((1+1/6)*1.1041)</f>
        <v>0</v>
      </c>
      <c r="J55" s="675">
        <f t="shared" si="90"/>
        <v>0</v>
      </c>
      <c r="K55" s="675">
        <f t="shared" si="91"/>
        <v>0</v>
      </c>
      <c r="L55" s="667">
        <f t="shared" si="92"/>
        <v>0</v>
      </c>
      <c r="M55" s="675">
        <f>IF(AND('Kalkulation Herstellungskosten'!C128=0,'Kalkulation Herstellungskosten'!C129=0),0,IF(I55/('Kalkulation Herstellungskosten'!C128+'Kalkulation Herstellungskosten'!C129)&gt;SVGrund_lfd_wö,('Kalkulation Herstellungskosten'!C128+'Kalkulation Herstellungskosten'!C129)*Höchst_Woche,I55*SV_lfd))</f>
        <v>0</v>
      </c>
      <c r="N55" s="675">
        <f t="shared" si="31"/>
        <v>0</v>
      </c>
      <c r="O55" s="675">
        <f>IF(I55*10.41%&gt;(0.5833*('Kalkulation Herstellungskosten'!C129+'Kalkulation Herstellungskosten'!C128)*SVGrund_lfd_tä),(0.5833*('Kalkulation Herstellungskosten'!C129+'Kalkulation Herstellungskosten'!C128)*Höchst_Tag),I55*10.41%*SV_lfd)</f>
        <v>0</v>
      </c>
      <c r="P55" s="675">
        <f t="shared" si="134"/>
        <v>0</v>
      </c>
      <c r="Q55" s="675">
        <f t="shared" si="93"/>
        <v>0</v>
      </c>
      <c r="R55" s="675">
        <f t="shared" si="94"/>
        <v>0</v>
      </c>
      <c r="S55" s="675">
        <f t="shared" si="95"/>
        <v>0</v>
      </c>
      <c r="T55" s="675">
        <f t="shared" si="96"/>
        <v>0</v>
      </c>
      <c r="U55" s="675">
        <f>('Kalkulation Herstellungskosten'!C128+'Kalkulation Herstellungskosten'!C129)*U_Bahn</f>
        <v>0</v>
      </c>
      <c r="V55" s="667">
        <f t="shared" si="33"/>
        <v>0</v>
      </c>
      <c r="W55" s="667">
        <f t="shared" si="135"/>
        <v>0</v>
      </c>
      <c r="X55" s="666"/>
      <c r="Y55" s="666"/>
      <c r="Z55" s="666"/>
      <c r="AA55" s="666"/>
      <c r="AB55" s="666"/>
      <c r="AC55" s="666"/>
      <c r="AD55" s="666"/>
      <c r="AE55" s="666"/>
      <c r="AF55" s="666"/>
      <c r="AG55" s="666"/>
      <c r="AH55" s="666"/>
      <c r="AI55" s="666"/>
      <c r="AJ55" s="666"/>
      <c r="AK55" s="666"/>
      <c r="AL55" s="666"/>
      <c r="AM55" s="666"/>
      <c r="AN55" s="666"/>
      <c r="AO55" s="666"/>
      <c r="AP55" s="666"/>
      <c r="AQ55" s="666"/>
      <c r="AR55" s="666"/>
      <c r="AS55" s="666"/>
      <c r="AT55" s="666"/>
      <c r="AU55" s="666"/>
      <c r="AV55" s="666"/>
      <c r="AW55" s="666"/>
      <c r="AX55" s="666"/>
      <c r="AY55" s="666"/>
      <c r="AZ55" s="666"/>
    </row>
    <row r="56" spans="1:52" ht="12.75" customHeight="1" x14ac:dyDescent="0.2">
      <c r="A56" s="706" t="str">
        <f>'Kalkulation Herstellungskosten'!B130</f>
        <v>Synchronregie</v>
      </c>
      <c r="B56" s="694"/>
      <c r="C56" s="87"/>
      <c r="D56" s="87"/>
      <c r="E56" s="704">
        <f t="shared" si="17"/>
        <v>0</v>
      </c>
      <c r="F56" s="88"/>
      <c r="G56" s="702">
        <f t="shared" si="18"/>
        <v>0</v>
      </c>
      <c r="H56" s="699"/>
      <c r="I56" s="674">
        <f>'Kalkulation Herstellungskosten'!G130/((1+1/6)*1.1041)</f>
        <v>0</v>
      </c>
      <c r="J56" s="675">
        <f t="shared" si="90"/>
        <v>0</v>
      </c>
      <c r="K56" s="675">
        <f t="shared" si="91"/>
        <v>0</v>
      </c>
      <c r="L56" s="667">
        <f t="shared" si="92"/>
        <v>0</v>
      </c>
      <c r="M56" s="675">
        <f>IF(AND('Kalkulation Herstellungskosten'!C130=0,'Kalkulation Herstellungskosten'!C131=0),0,IF(I56/('Kalkulation Herstellungskosten'!C130+'Kalkulation Herstellungskosten'!C131)&gt;SVGrund_lfd_wö,('Kalkulation Herstellungskosten'!C130+'Kalkulation Herstellungskosten'!C131)*Höchst_Woche,I56*SV_lfd))</f>
        <v>0</v>
      </c>
      <c r="N56" s="675">
        <f t="shared" si="31"/>
        <v>0</v>
      </c>
      <c r="O56" s="675">
        <f>IF(I56*10.41%&gt;(0.5833*('Kalkulation Herstellungskosten'!C131+'Kalkulation Herstellungskosten'!C130)*SVGrund_lfd_tä),(0.5833*('Kalkulation Herstellungskosten'!C131+'Kalkulation Herstellungskosten'!C130)*Höchst_Tag),I56*10.41%*SV_lfd)</f>
        <v>0</v>
      </c>
      <c r="P56" s="675">
        <f t="shared" si="134"/>
        <v>0</v>
      </c>
      <c r="Q56" s="675">
        <f t="shared" si="93"/>
        <v>0</v>
      </c>
      <c r="R56" s="675">
        <f t="shared" si="94"/>
        <v>0</v>
      </c>
      <c r="S56" s="675">
        <f t="shared" si="95"/>
        <v>0</v>
      </c>
      <c r="T56" s="675">
        <f t="shared" si="96"/>
        <v>0</v>
      </c>
      <c r="U56" s="675">
        <f>('Kalkulation Herstellungskosten'!C130+'Kalkulation Herstellungskosten'!C131)*U_Bahn</f>
        <v>0</v>
      </c>
      <c r="V56" s="667">
        <f t="shared" si="33"/>
        <v>0</v>
      </c>
      <c r="W56" s="667">
        <f t="shared" si="135"/>
        <v>0</v>
      </c>
      <c r="X56" s="666"/>
      <c r="Y56" s="666"/>
      <c r="Z56" s="666"/>
      <c r="AA56" s="666"/>
      <c r="AB56" s="666"/>
      <c r="AC56" s="666"/>
      <c r="AD56" s="666"/>
      <c r="AE56" s="666"/>
      <c r="AF56" s="666"/>
      <c r="AG56" s="666"/>
      <c r="AH56" s="666"/>
      <c r="AI56" s="666"/>
      <c r="AJ56" s="666"/>
      <c r="AK56" s="666"/>
      <c r="AL56" s="666"/>
      <c r="AM56" s="666"/>
      <c r="AN56" s="666"/>
      <c r="AO56" s="666"/>
      <c r="AP56" s="666"/>
      <c r="AQ56" s="666"/>
      <c r="AR56" s="666"/>
      <c r="AS56" s="666"/>
      <c r="AT56" s="666"/>
      <c r="AU56" s="666"/>
      <c r="AV56" s="666"/>
      <c r="AW56" s="666"/>
      <c r="AX56" s="666"/>
      <c r="AY56" s="666"/>
      <c r="AZ56" s="666"/>
    </row>
    <row r="57" spans="1:52" ht="12.75" customHeight="1" x14ac:dyDescent="0.2">
      <c r="A57" s="668"/>
      <c r="B57" s="696"/>
      <c r="C57" s="692"/>
      <c r="D57" s="691"/>
      <c r="E57" s="691"/>
      <c r="F57" s="691"/>
      <c r="G57" s="691"/>
      <c r="H57" s="691"/>
      <c r="I57" s="281"/>
      <c r="J57" s="281"/>
      <c r="K57" s="281"/>
      <c r="L57" s="281"/>
      <c r="M57" s="281"/>
      <c r="N57" s="281"/>
      <c r="O57" s="281"/>
      <c r="P57" s="281"/>
      <c r="Q57" s="281"/>
      <c r="R57" s="281"/>
      <c r="S57" s="281"/>
      <c r="T57" s="281"/>
      <c r="U57" s="281"/>
      <c r="V57" s="281"/>
      <c r="W57" s="281"/>
      <c r="X57" s="666"/>
      <c r="Y57" s="666"/>
      <c r="Z57" s="666"/>
      <c r="AA57" s="666"/>
      <c r="AB57" s="666"/>
      <c r="AC57" s="666"/>
      <c r="AD57" s="666"/>
      <c r="AE57" s="666"/>
      <c r="AF57" s="666"/>
      <c r="AG57" s="666"/>
      <c r="AH57" s="666"/>
      <c r="AI57" s="666"/>
      <c r="AJ57" s="666"/>
      <c r="AK57" s="666"/>
      <c r="AL57" s="666"/>
      <c r="AM57" s="666"/>
      <c r="AN57" s="666"/>
      <c r="AO57" s="666"/>
      <c r="AP57" s="666"/>
      <c r="AQ57" s="666"/>
      <c r="AR57" s="666"/>
      <c r="AS57" s="666"/>
      <c r="AT57" s="666"/>
      <c r="AU57" s="666"/>
      <c r="AV57" s="666"/>
      <c r="AW57" s="666"/>
      <c r="AX57" s="666"/>
      <c r="AY57" s="666"/>
      <c r="AZ57" s="666"/>
    </row>
    <row r="58" spans="1:52" ht="12.75" customHeight="1" x14ac:dyDescent="0.2">
      <c r="A58" s="707" t="str">
        <f>'Kalkulation Herstellungskosten'!B133</f>
        <v>Sonstige MitarbeiterInnen</v>
      </c>
      <c r="B58" s="666"/>
      <c r="C58" s="692"/>
      <c r="D58" s="691"/>
      <c r="E58" s="691"/>
      <c r="F58" s="691"/>
      <c r="G58" s="691"/>
      <c r="H58" s="691"/>
      <c r="I58" s="676"/>
      <c r="J58" s="514"/>
      <c r="K58" s="514"/>
      <c r="L58" s="676"/>
      <c r="M58" s="514"/>
      <c r="N58" s="514"/>
      <c r="O58" s="514"/>
      <c r="P58" s="514"/>
      <c r="Q58" s="514"/>
      <c r="R58" s="514"/>
      <c r="S58" s="514"/>
      <c r="T58" s="514"/>
      <c r="U58" s="514"/>
      <c r="V58" s="676"/>
      <c r="W58" s="676"/>
      <c r="X58" s="666"/>
      <c r="Y58" s="666"/>
      <c r="Z58" s="666"/>
      <c r="AA58" s="666"/>
      <c r="AB58" s="666"/>
      <c r="AC58" s="666"/>
      <c r="AD58" s="666"/>
      <c r="AE58" s="666"/>
      <c r="AF58" s="666"/>
      <c r="AG58" s="666"/>
      <c r="AH58" s="666"/>
      <c r="AI58" s="666"/>
      <c r="AJ58" s="666"/>
      <c r="AK58" s="666"/>
      <c r="AL58" s="666"/>
      <c r="AM58" s="666"/>
      <c r="AN58" s="666"/>
      <c r="AO58" s="666"/>
      <c r="AP58" s="666"/>
      <c r="AQ58" s="666"/>
      <c r="AR58" s="666"/>
      <c r="AS58" s="666"/>
      <c r="AT58" s="666"/>
      <c r="AU58" s="666"/>
      <c r="AV58" s="666"/>
      <c r="AW58" s="666"/>
      <c r="AX58" s="666"/>
      <c r="AY58" s="666"/>
      <c r="AZ58" s="666"/>
    </row>
    <row r="59" spans="1:52" ht="12.75" customHeight="1" x14ac:dyDescent="0.2">
      <c r="A59" s="706" t="str">
        <f>'Kalkulation Herstellungskosten'!B134</f>
        <v>Green Film Consultant</v>
      </c>
      <c r="B59" s="694"/>
      <c r="C59" s="900"/>
      <c r="D59" s="90"/>
      <c r="E59" s="703">
        <f t="shared" ref="E59" si="136">IF(C59=0,0,(D59-C59+1)/7)</f>
        <v>0</v>
      </c>
      <c r="F59" s="91"/>
      <c r="G59" s="701">
        <f t="shared" ref="G59" si="137">E59*F59</f>
        <v>0</v>
      </c>
      <c r="H59" s="691"/>
      <c r="I59" s="674">
        <f>'Kalkulation Herstellungskosten'!G134/((1+1/6)*1.1041)</f>
        <v>0</v>
      </c>
      <c r="J59" s="675">
        <f>I59/6</f>
        <v>0</v>
      </c>
      <c r="K59" s="675">
        <f>(I59+J59)*10.41%</f>
        <v>0</v>
      </c>
      <c r="L59" s="667">
        <f>SUM(I59:K59)</f>
        <v>0</v>
      </c>
      <c r="M59" s="675">
        <f>IF('Kalkulation Herstellungskosten'!C134=0,0,IF(I59/'Kalkulation Herstellungskosten'!C134&gt;SVGrund_lfd_wö,'Kalkulation Herstellungskosten'!C134*Höchst_Woche,I59*SV_lfd))</f>
        <v>0</v>
      </c>
      <c r="N59" s="675">
        <f t="shared" ref="N59:N68" si="138">IF(J59&gt;SVGrund_SZ, Höchst_Mo_SZ,J59*SV_SZ)</f>
        <v>0</v>
      </c>
      <c r="O59" s="675">
        <f>IF(I59*10.41%&gt;(0.5833*'Kalkulation Herstellungskosten'!C134*SVGrund_lfd_tä),(0.5833*'Kalkulation Herstellungskosten'!C134*Höchst_Tag),I59*10.41%*SV_lfd)</f>
        <v>0</v>
      </c>
      <c r="P59" s="675">
        <f t="shared" ref="P59:P68" si="139">IF(J59&gt;SVGrund_SZ,0,IF(J59*10.41%&gt;(SVGrund_SZ-J59),(SVGrund_SZ-J59)*SV_SZ,J59*10.41%*SV_SZ))</f>
        <v>0</v>
      </c>
      <c r="Q59" s="675">
        <f t="shared" ref="Q59:Q68" si="140">L59*MV</f>
        <v>0</v>
      </c>
      <c r="R59" s="675">
        <f t="shared" ref="R59:R68" si="141">L59*DB</f>
        <v>0</v>
      </c>
      <c r="S59" s="675">
        <f t="shared" ref="S59:S68" si="142">L59*DZ</f>
        <v>0</v>
      </c>
      <c r="T59" s="675">
        <f t="shared" ref="T59:T68" si="143">L59*KommSt</f>
        <v>0</v>
      </c>
      <c r="U59" s="675">
        <f>'Kalkulation Herstellungskosten'!C134*U_Bahn</f>
        <v>0</v>
      </c>
      <c r="V59" s="667">
        <f>SUM(M59:U59)</f>
        <v>0</v>
      </c>
      <c r="W59" s="667">
        <f>SUM(L59,V59)</f>
        <v>0</v>
      </c>
      <c r="X59" s="666"/>
      <c r="Y59" s="666"/>
      <c r="Z59" s="666"/>
      <c r="AA59" s="666"/>
      <c r="AB59" s="666"/>
      <c r="AC59" s="666"/>
      <c r="AD59" s="666"/>
      <c r="AE59" s="666"/>
      <c r="AF59" s="666"/>
      <c r="AG59" s="666"/>
      <c r="AH59" s="666"/>
      <c r="AI59" s="666"/>
      <c r="AJ59" s="666"/>
      <c r="AK59" s="666"/>
      <c r="AL59" s="666"/>
      <c r="AM59" s="666"/>
      <c r="AN59" s="666"/>
      <c r="AO59" s="666"/>
      <c r="AP59" s="666"/>
      <c r="AQ59" s="666"/>
      <c r="AR59" s="666"/>
      <c r="AS59" s="666"/>
      <c r="AT59" s="666"/>
      <c r="AU59" s="666"/>
      <c r="AV59" s="666"/>
      <c r="AW59" s="666"/>
      <c r="AX59" s="666"/>
      <c r="AY59" s="666"/>
      <c r="AZ59" s="666"/>
    </row>
    <row r="60" spans="1:52" ht="12.75" customHeight="1" x14ac:dyDescent="0.2">
      <c r="A60" s="706" t="str">
        <f>'Kalkulation Herstellungskosten'!B135</f>
        <v>Green Runner</v>
      </c>
      <c r="B60" s="694"/>
      <c r="C60" s="87"/>
      <c r="D60" s="87"/>
      <c r="E60" s="704">
        <f t="shared" ref="E60:E68" si="144">IF(C60=0,0,(D60-C60+1)/7)</f>
        <v>0</v>
      </c>
      <c r="F60" s="88"/>
      <c r="G60" s="702">
        <f t="shared" ref="G60:G68" si="145">E60*F60</f>
        <v>0</v>
      </c>
      <c r="H60" s="699"/>
      <c r="I60" s="674">
        <f>'Kalkulation Herstellungskosten'!G135/((1+1/6)*1.1041)</f>
        <v>0</v>
      </c>
      <c r="J60" s="675">
        <f t="shared" ref="J60:J68" si="146">I60/6</f>
        <v>0</v>
      </c>
      <c r="K60" s="675">
        <f t="shared" ref="K60:K68" si="147">(I60+J60)*10.41%</f>
        <v>0</v>
      </c>
      <c r="L60" s="667">
        <f t="shared" ref="L60:L68" si="148">SUM(I60:K60)</f>
        <v>0</v>
      </c>
      <c r="M60" s="675">
        <f>IF('Kalkulation Herstellungskosten'!C135=0,0,IF(I60/'Kalkulation Herstellungskosten'!C135&gt;SVGrund_lfd_wö,'Kalkulation Herstellungskosten'!C135*Höchst_Woche,I60*SV_lfd))</f>
        <v>0</v>
      </c>
      <c r="N60" s="675">
        <f t="shared" si="138"/>
        <v>0</v>
      </c>
      <c r="O60" s="675">
        <f>IF(I60*10.41%&gt;(0.5833*'Kalkulation Herstellungskosten'!C135*SVGrund_lfd_tä),(0.5833*'Kalkulation Herstellungskosten'!C135*Höchst_Tag),I60*10.41%*SV_lfd)</f>
        <v>0</v>
      </c>
      <c r="P60" s="675">
        <f t="shared" si="139"/>
        <v>0</v>
      </c>
      <c r="Q60" s="675">
        <f t="shared" si="140"/>
        <v>0</v>
      </c>
      <c r="R60" s="675">
        <f t="shared" si="141"/>
        <v>0</v>
      </c>
      <c r="S60" s="675">
        <f t="shared" si="142"/>
        <v>0</v>
      </c>
      <c r="T60" s="675">
        <f t="shared" si="143"/>
        <v>0</v>
      </c>
      <c r="U60" s="675">
        <f>'Kalkulation Herstellungskosten'!C135*U_Bahn</f>
        <v>0</v>
      </c>
      <c r="V60" s="667">
        <f t="shared" ref="V60:V68" si="149">SUM(M60:U60)</f>
        <v>0</v>
      </c>
      <c r="W60" s="667">
        <f t="shared" ref="W60:W79" si="150">SUM(L60,V60)</f>
        <v>0</v>
      </c>
      <c r="X60" s="666"/>
      <c r="Y60" s="666"/>
      <c r="Z60" s="666"/>
      <c r="AA60" s="666"/>
      <c r="AB60" s="666"/>
      <c r="AC60" s="666"/>
      <c r="AD60" s="666"/>
      <c r="AE60" s="666"/>
      <c r="AF60" s="666"/>
      <c r="AG60" s="666"/>
      <c r="AH60" s="666"/>
      <c r="AI60" s="666"/>
      <c r="AJ60" s="666"/>
      <c r="AK60" s="666"/>
      <c r="AL60" s="666"/>
      <c r="AM60" s="666"/>
      <c r="AN60" s="666"/>
      <c r="AO60" s="666"/>
      <c r="AP60" s="666"/>
      <c r="AQ60" s="666"/>
      <c r="AR60" s="666"/>
      <c r="AS60" s="666"/>
      <c r="AT60" s="666"/>
      <c r="AU60" s="666"/>
      <c r="AV60" s="666"/>
      <c r="AW60" s="666"/>
      <c r="AX60" s="666"/>
      <c r="AY60" s="666"/>
      <c r="AZ60" s="666"/>
    </row>
    <row r="61" spans="1:52" ht="12.75" customHeight="1" x14ac:dyDescent="0.2">
      <c r="A61" s="706">
        <f>'Kalkulation Herstellungskosten'!B136</f>
        <v>0</v>
      </c>
      <c r="B61" s="694"/>
      <c r="C61" s="87"/>
      <c r="D61" s="87"/>
      <c r="E61" s="704">
        <f t="shared" si="144"/>
        <v>0</v>
      </c>
      <c r="F61" s="88"/>
      <c r="G61" s="702">
        <f t="shared" si="145"/>
        <v>0</v>
      </c>
      <c r="H61" s="699"/>
      <c r="I61" s="674">
        <f>'Kalkulation Herstellungskosten'!G136/((1+1/6)*1.1041)</f>
        <v>0</v>
      </c>
      <c r="J61" s="675">
        <f t="shared" si="146"/>
        <v>0</v>
      </c>
      <c r="K61" s="675">
        <f t="shared" si="147"/>
        <v>0</v>
      </c>
      <c r="L61" s="667">
        <f t="shared" si="148"/>
        <v>0</v>
      </c>
      <c r="M61" s="675">
        <f>IF('Kalkulation Herstellungskosten'!C136=0,0,IF(I61/'Kalkulation Herstellungskosten'!C136&gt;SVGrund_lfd_wö,'Kalkulation Herstellungskosten'!C136*Höchst_Woche,I61*SV_lfd))</f>
        <v>0</v>
      </c>
      <c r="N61" s="675">
        <f t="shared" si="138"/>
        <v>0</v>
      </c>
      <c r="O61" s="675">
        <f>IF(I61*10.41%&gt;(0.5833*'Kalkulation Herstellungskosten'!C136*SVGrund_lfd_tä),(0.5833*'Kalkulation Herstellungskosten'!C136*Höchst_Tag),I61*10.41%*SV_lfd)</f>
        <v>0</v>
      </c>
      <c r="P61" s="675">
        <f t="shared" si="139"/>
        <v>0</v>
      </c>
      <c r="Q61" s="675">
        <f t="shared" si="140"/>
        <v>0</v>
      </c>
      <c r="R61" s="675">
        <f t="shared" si="141"/>
        <v>0</v>
      </c>
      <c r="S61" s="675">
        <f t="shared" si="142"/>
        <v>0</v>
      </c>
      <c r="T61" s="675">
        <f t="shared" si="143"/>
        <v>0</v>
      </c>
      <c r="U61" s="675">
        <f>'Kalkulation Herstellungskosten'!C136*U_Bahn</f>
        <v>0</v>
      </c>
      <c r="V61" s="667">
        <f t="shared" si="149"/>
        <v>0</v>
      </c>
      <c r="W61" s="667">
        <f t="shared" si="150"/>
        <v>0</v>
      </c>
      <c r="X61" s="666"/>
      <c r="Y61" s="666"/>
      <c r="Z61" s="666"/>
      <c r="AA61" s="666"/>
      <c r="AB61" s="666"/>
      <c r="AC61" s="666"/>
      <c r="AD61" s="666"/>
      <c r="AE61" s="666"/>
      <c r="AF61" s="666"/>
      <c r="AG61" s="666"/>
      <c r="AH61" s="666"/>
      <c r="AI61" s="666"/>
      <c r="AJ61" s="666"/>
      <c r="AK61" s="666"/>
      <c r="AL61" s="666"/>
      <c r="AM61" s="666"/>
      <c r="AN61" s="666"/>
      <c r="AO61" s="666"/>
      <c r="AP61" s="666"/>
      <c r="AQ61" s="666"/>
      <c r="AR61" s="666"/>
      <c r="AS61" s="666"/>
      <c r="AT61" s="666"/>
      <c r="AU61" s="666"/>
      <c r="AV61" s="666"/>
      <c r="AW61" s="666"/>
      <c r="AX61" s="666"/>
      <c r="AY61" s="666"/>
      <c r="AZ61" s="666"/>
    </row>
    <row r="62" spans="1:52" ht="12.75" customHeight="1" x14ac:dyDescent="0.2">
      <c r="A62" s="706">
        <f>'Kalkulation Herstellungskosten'!B137</f>
        <v>0</v>
      </c>
      <c r="B62" s="694"/>
      <c r="C62" s="87"/>
      <c r="D62" s="87"/>
      <c r="E62" s="704">
        <f t="shared" si="144"/>
        <v>0</v>
      </c>
      <c r="F62" s="88"/>
      <c r="G62" s="702">
        <f t="shared" si="145"/>
        <v>0</v>
      </c>
      <c r="H62" s="699"/>
      <c r="I62" s="674">
        <f>'Kalkulation Herstellungskosten'!G137/((1+1/6)*1.1041)</f>
        <v>0</v>
      </c>
      <c r="J62" s="675">
        <f t="shared" si="146"/>
        <v>0</v>
      </c>
      <c r="K62" s="675">
        <f t="shared" si="147"/>
        <v>0</v>
      </c>
      <c r="L62" s="667">
        <f t="shared" si="148"/>
        <v>0</v>
      </c>
      <c r="M62" s="675">
        <f>IF('Kalkulation Herstellungskosten'!C137=0,0,IF(I62/'Kalkulation Herstellungskosten'!C137&gt;SVGrund_lfd_wö,'Kalkulation Herstellungskosten'!C137*Höchst_Woche,I62*SV_lfd))</f>
        <v>0</v>
      </c>
      <c r="N62" s="675">
        <f t="shared" si="138"/>
        <v>0</v>
      </c>
      <c r="O62" s="675">
        <f>IF(I62*10.41%&gt;(0.5833*'Kalkulation Herstellungskosten'!C137*SVGrund_lfd_tä),(0.5833*'Kalkulation Herstellungskosten'!C137*Höchst_Tag),I62*10.41%*SV_lfd)</f>
        <v>0</v>
      </c>
      <c r="P62" s="675">
        <f t="shared" si="139"/>
        <v>0</v>
      </c>
      <c r="Q62" s="675">
        <f t="shared" si="140"/>
        <v>0</v>
      </c>
      <c r="R62" s="675">
        <f t="shared" si="141"/>
        <v>0</v>
      </c>
      <c r="S62" s="675">
        <f t="shared" si="142"/>
        <v>0</v>
      </c>
      <c r="T62" s="675">
        <f t="shared" si="143"/>
        <v>0</v>
      </c>
      <c r="U62" s="675">
        <f>'Kalkulation Herstellungskosten'!C137*U_Bahn</f>
        <v>0</v>
      </c>
      <c r="V62" s="667">
        <f t="shared" si="149"/>
        <v>0</v>
      </c>
      <c r="W62" s="667">
        <f t="shared" si="150"/>
        <v>0</v>
      </c>
      <c r="X62" s="666"/>
      <c r="Y62" s="666"/>
      <c r="Z62" s="666"/>
      <c r="AA62" s="666"/>
      <c r="AB62" s="666"/>
      <c r="AC62" s="666"/>
      <c r="AD62" s="666"/>
      <c r="AE62" s="666"/>
      <c r="AF62" s="666"/>
      <c r="AG62" s="666"/>
      <c r="AH62" s="666"/>
      <c r="AI62" s="666"/>
      <c r="AJ62" s="666"/>
      <c r="AK62" s="666"/>
      <c r="AL62" s="666"/>
      <c r="AM62" s="666"/>
      <c r="AN62" s="666"/>
      <c r="AO62" s="666"/>
      <c r="AP62" s="666"/>
      <c r="AQ62" s="666"/>
      <c r="AR62" s="666"/>
      <c r="AS62" s="666"/>
      <c r="AT62" s="666"/>
      <c r="AU62" s="666"/>
      <c r="AV62" s="666"/>
      <c r="AW62" s="666"/>
      <c r="AX62" s="666"/>
      <c r="AY62" s="666"/>
      <c r="AZ62" s="666"/>
    </row>
    <row r="63" spans="1:52" ht="12.75" customHeight="1" x14ac:dyDescent="0.2">
      <c r="A63" s="706">
        <f>'Kalkulation Herstellungskosten'!B138</f>
        <v>0</v>
      </c>
      <c r="B63" s="694"/>
      <c r="C63" s="87"/>
      <c r="D63" s="87"/>
      <c r="E63" s="704">
        <f t="shared" si="144"/>
        <v>0</v>
      </c>
      <c r="F63" s="88"/>
      <c r="G63" s="702">
        <f t="shared" si="145"/>
        <v>0</v>
      </c>
      <c r="H63" s="699"/>
      <c r="I63" s="674">
        <f>'Kalkulation Herstellungskosten'!G138/((1+1/6)*1.1041)</f>
        <v>0</v>
      </c>
      <c r="J63" s="675">
        <f t="shared" si="146"/>
        <v>0</v>
      </c>
      <c r="K63" s="675">
        <f t="shared" si="147"/>
        <v>0</v>
      </c>
      <c r="L63" s="667">
        <f t="shared" si="148"/>
        <v>0</v>
      </c>
      <c r="M63" s="675">
        <f>IF('Kalkulation Herstellungskosten'!C138=0,0,IF(I63/'Kalkulation Herstellungskosten'!C138&gt;SVGrund_lfd_wö,'Kalkulation Herstellungskosten'!C138*Höchst_Woche,I63*SV_lfd))</f>
        <v>0</v>
      </c>
      <c r="N63" s="675">
        <f t="shared" si="138"/>
        <v>0</v>
      </c>
      <c r="O63" s="675">
        <f>IF(I63*10.41%&gt;(0.5833*'Kalkulation Herstellungskosten'!C138*SVGrund_lfd_tä),(0.5833*'Kalkulation Herstellungskosten'!C138*Höchst_Tag),I63*10.41%*SV_lfd)</f>
        <v>0</v>
      </c>
      <c r="P63" s="675">
        <f t="shared" si="139"/>
        <v>0</v>
      </c>
      <c r="Q63" s="675">
        <f t="shared" si="140"/>
        <v>0</v>
      </c>
      <c r="R63" s="675">
        <f t="shared" si="141"/>
        <v>0</v>
      </c>
      <c r="S63" s="675">
        <f t="shared" si="142"/>
        <v>0</v>
      </c>
      <c r="T63" s="675">
        <f t="shared" si="143"/>
        <v>0</v>
      </c>
      <c r="U63" s="675">
        <f>'Kalkulation Herstellungskosten'!C138*U_Bahn</f>
        <v>0</v>
      </c>
      <c r="V63" s="667">
        <f t="shared" si="149"/>
        <v>0</v>
      </c>
      <c r="W63" s="667">
        <f t="shared" si="150"/>
        <v>0</v>
      </c>
      <c r="X63" s="666"/>
      <c r="Y63" s="666"/>
      <c r="Z63" s="666"/>
      <c r="AA63" s="666"/>
      <c r="AB63" s="666"/>
      <c r="AC63" s="666"/>
      <c r="AD63" s="666"/>
      <c r="AE63" s="666"/>
      <c r="AF63" s="666"/>
      <c r="AG63" s="666"/>
      <c r="AH63" s="666"/>
      <c r="AI63" s="666"/>
      <c r="AJ63" s="666"/>
      <c r="AK63" s="666"/>
      <c r="AL63" s="666"/>
      <c r="AM63" s="666"/>
      <c r="AN63" s="666"/>
      <c r="AO63" s="666"/>
      <c r="AP63" s="666"/>
      <c r="AQ63" s="666"/>
      <c r="AR63" s="666"/>
      <c r="AS63" s="666"/>
      <c r="AT63" s="666"/>
      <c r="AU63" s="666"/>
      <c r="AV63" s="666"/>
      <c r="AW63" s="666"/>
      <c r="AX63" s="666"/>
      <c r="AY63" s="666"/>
      <c r="AZ63" s="666"/>
    </row>
    <row r="64" spans="1:52" ht="12.75" customHeight="1" x14ac:dyDescent="0.2">
      <c r="A64" s="706">
        <f>'Kalkulation Herstellungskosten'!B139</f>
        <v>0</v>
      </c>
      <c r="B64" s="694"/>
      <c r="C64" s="87"/>
      <c r="D64" s="87"/>
      <c r="E64" s="704">
        <f t="shared" si="144"/>
        <v>0</v>
      </c>
      <c r="F64" s="88"/>
      <c r="G64" s="702">
        <f t="shared" si="145"/>
        <v>0</v>
      </c>
      <c r="H64" s="699"/>
      <c r="I64" s="674">
        <f>'Kalkulation Herstellungskosten'!G139/((1+1/6)*1.1041)</f>
        <v>0</v>
      </c>
      <c r="J64" s="675">
        <f t="shared" si="146"/>
        <v>0</v>
      </c>
      <c r="K64" s="675">
        <f t="shared" si="147"/>
        <v>0</v>
      </c>
      <c r="L64" s="667">
        <f t="shared" si="148"/>
        <v>0</v>
      </c>
      <c r="M64" s="675">
        <f>IF('Kalkulation Herstellungskosten'!C139=0,0,IF(I64/'Kalkulation Herstellungskosten'!C139&gt;SVGrund_lfd_wö,'Kalkulation Herstellungskosten'!C139*Höchst_Woche,I64*SV_lfd))</f>
        <v>0</v>
      </c>
      <c r="N64" s="675">
        <f t="shared" si="138"/>
        <v>0</v>
      </c>
      <c r="O64" s="675">
        <f>IF(I64*10.41%&gt;(0.5833*'Kalkulation Herstellungskosten'!C139*SVGrund_lfd_tä),(0.5833*'Kalkulation Herstellungskosten'!C139*Höchst_Tag),I64*10.41%*SV_lfd)</f>
        <v>0</v>
      </c>
      <c r="P64" s="675">
        <f t="shared" si="139"/>
        <v>0</v>
      </c>
      <c r="Q64" s="675">
        <f t="shared" si="140"/>
        <v>0</v>
      </c>
      <c r="R64" s="675">
        <f t="shared" si="141"/>
        <v>0</v>
      </c>
      <c r="S64" s="675">
        <f t="shared" si="142"/>
        <v>0</v>
      </c>
      <c r="T64" s="675">
        <f t="shared" si="143"/>
        <v>0</v>
      </c>
      <c r="U64" s="675">
        <f>'Kalkulation Herstellungskosten'!C139*U_Bahn</f>
        <v>0</v>
      </c>
      <c r="V64" s="667">
        <f t="shared" si="149"/>
        <v>0</v>
      </c>
      <c r="W64" s="667">
        <f t="shared" si="150"/>
        <v>0</v>
      </c>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6"/>
      <c r="AZ64" s="666"/>
    </row>
    <row r="65" spans="1:52" ht="12.75" customHeight="1" x14ac:dyDescent="0.2">
      <c r="A65" s="706">
        <f>'Kalkulation Herstellungskosten'!B140</f>
        <v>0</v>
      </c>
      <c r="B65" s="694"/>
      <c r="C65" s="87"/>
      <c r="D65" s="87"/>
      <c r="E65" s="704">
        <f t="shared" si="144"/>
        <v>0</v>
      </c>
      <c r="F65" s="88"/>
      <c r="G65" s="702">
        <f t="shared" si="145"/>
        <v>0</v>
      </c>
      <c r="H65" s="699"/>
      <c r="I65" s="674">
        <f>'Kalkulation Herstellungskosten'!G140/((1+1/6)*1.1041)</f>
        <v>0</v>
      </c>
      <c r="J65" s="675">
        <f t="shared" si="146"/>
        <v>0</v>
      </c>
      <c r="K65" s="675">
        <f t="shared" si="147"/>
        <v>0</v>
      </c>
      <c r="L65" s="667">
        <f t="shared" si="148"/>
        <v>0</v>
      </c>
      <c r="M65" s="675">
        <f>IF('Kalkulation Herstellungskosten'!C140=0,0,IF(I65/'Kalkulation Herstellungskosten'!C140&gt;SVGrund_lfd_wö,'Kalkulation Herstellungskosten'!C140*Höchst_Woche,I65*SV_lfd))</f>
        <v>0</v>
      </c>
      <c r="N65" s="675">
        <f t="shared" si="138"/>
        <v>0</v>
      </c>
      <c r="O65" s="675">
        <f>IF(I65*10.41%&gt;(0.5833*'Kalkulation Herstellungskosten'!C140*SVGrund_lfd_tä),(0.5833*'Kalkulation Herstellungskosten'!C140*Höchst_Tag),I65*10.41%*SV_lfd)</f>
        <v>0</v>
      </c>
      <c r="P65" s="675">
        <f t="shared" si="139"/>
        <v>0</v>
      </c>
      <c r="Q65" s="675">
        <f t="shared" si="140"/>
        <v>0</v>
      </c>
      <c r="R65" s="675">
        <f t="shared" si="141"/>
        <v>0</v>
      </c>
      <c r="S65" s="675">
        <f t="shared" si="142"/>
        <v>0</v>
      </c>
      <c r="T65" s="675">
        <f t="shared" si="143"/>
        <v>0</v>
      </c>
      <c r="U65" s="675">
        <f>'Kalkulation Herstellungskosten'!C140*U_Bahn</f>
        <v>0</v>
      </c>
      <c r="V65" s="667">
        <f t="shared" si="149"/>
        <v>0</v>
      </c>
      <c r="W65" s="667">
        <f t="shared" si="150"/>
        <v>0</v>
      </c>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row>
    <row r="66" spans="1:52" ht="12.75" customHeight="1" x14ac:dyDescent="0.2">
      <c r="A66" s="706">
        <f>'Kalkulation Herstellungskosten'!B141</f>
        <v>0</v>
      </c>
      <c r="B66" s="694"/>
      <c r="C66" s="87"/>
      <c r="D66" s="87"/>
      <c r="E66" s="704">
        <f t="shared" si="144"/>
        <v>0</v>
      </c>
      <c r="F66" s="88"/>
      <c r="G66" s="702">
        <f t="shared" si="145"/>
        <v>0</v>
      </c>
      <c r="H66" s="699"/>
      <c r="I66" s="674">
        <f>'Kalkulation Herstellungskosten'!G141/((1+1/6)*1.1041)</f>
        <v>0</v>
      </c>
      <c r="J66" s="675">
        <f t="shared" si="146"/>
        <v>0</v>
      </c>
      <c r="K66" s="675">
        <f t="shared" si="147"/>
        <v>0</v>
      </c>
      <c r="L66" s="667">
        <f t="shared" si="148"/>
        <v>0</v>
      </c>
      <c r="M66" s="675">
        <f>IF('Kalkulation Herstellungskosten'!C141=0,0,IF(I66/'Kalkulation Herstellungskosten'!C141&gt;SVGrund_lfd_wö,'Kalkulation Herstellungskosten'!C141*Höchst_Woche,I66*SV_lfd))</f>
        <v>0</v>
      </c>
      <c r="N66" s="675">
        <f t="shared" si="138"/>
        <v>0</v>
      </c>
      <c r="O66" s="675">
        <f>IF(I66*10.41%&gt;(0.5833*'Kalkulation Herstellungskosten'!C141*SVGrund_lfd_tä),(0.5833*'Kalkulation Herstellungskosten'!C141*Höchst_Tag),I66*10.41%*SV_lfd)</f>
        <v>0</v>
      </c>
      <c r="P66" s="675">
        <f t="shared" si="139"/>
        <v>0</v>
      </c>
      <c r="Q66" s="675">
        <f t="shared" si="140"/>
        <v>0</v>
      </c>
      <c r="R66" s="675">
        <f t="shared" si="141"/>
        <v>0</v>
      </c>
      <c r="S66" s="675">
        <f t="shared" si="142"/>
        <v>0</v>
      </c>
      <c r="T66" s="675">
        <f t="shared" si="143"/>
        <v>0</v>
      </c>
      <c r="U66" s="675">
        <f>'Kalkulation Herstellungskosten'!C141*U_Bahn</f>
        <v>0</v>
      </c>
      <c r="V66" s="667">
        <f t="shared" si="149"/>
        <v>0</v>
      </c>
      <c r="W66" s="667">
        <f t="shared" si="150"/>
        <v>0</v>
      </c>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row>
    <row r="67" spans="1:52" ht="12.75" customHeight="1" x14ac:dyDescent="0.2">
      <c r="A67" s="706">
        <f>'Kalkulation Herstellungskosten'!B142</f>
        <v>0</v>
      </c>
      <c r="B67" s="694"/>
      <c r="C67" s="87"/>
      <c r="D67" s="87"/>
      <c r="E67" s="704">
        <f t="shared" si="144"/>
        <v>0</v>
      </c>
      <c r="F67" s="88"/>
      <c r="G67" s="702">
        <f t="shared" si="145"/>
        <v>0</v>
      </c>
      <c r="H67" s="699"/>
      <c r="I67" s="674">
        <f>'Kalkulation Herstellungskosten'!G142/((1+1/6)*1.1041)</f>
        <v>0</v>
      </c>
      <c r="J67" s="675">
        <f t="shared" si="146"/>
        <v>0</v>
      </c>
      <c r="K67" s="675">
        <f t="shared" si="147"/>
        <v>0</v>
      </c>
      <c r="L67" s="667">
        <f t="shared" si="148"/>
        <v>0</v>
      </c>
      <c r="M67" s="675">
        <f>IF('Kalkulation Herstellungskosten'!C142=0,0,IF(I67/'Kalkulation Herstellungskosten'!C142&gt;SVGrund_lfd_wö,'Kalkulation Herstellungskosten'!C142*Höchst_Woche,I67*SV_lfd))</f>
        <v>0</v>
      </c>
      <c r="N67" s="675">
        <f t="shared" si="138"/>
        <v>0</v>
      </c>
      <c r="O67" s="675">
        <f>IF(I67*10.41%&gt;(0.5833*'Kalkulation Herstellungskosten'!C142*SVGrund_lfd_tä),(0.5833*'Kalkulation Herstellungskosten'!C142*Höchst_Tag),I67*10.41%*SV_lfd)</f>
        <v>0</v>
      </c>
      <c r="P67" s="675">
        <f t="shared" si="139"/>
        <v>0</v>
      </c>
      <c r="Q67" s="675">
        <f t="shared" si="140"/>
        <v>0</v>
      </c>
      <c r="R67" s="675">
        <f t="shared" si="141"/>
        <v>0</v>
      </c>
      <c r="S67" s="675">
        <f t="shared" si="142"/>
        <v>0</v>
      </c>
      <c r="T67" s="675">
        <f t="shared" si="143"/>
        <v>0</v>
      </c>
      <c r="U67" s="675">
        <f>'Kalkulation Herstellungskosten'!C142*U_Bahn</f>
        <v>0</v>
      </c>
      <c r="V67" s="667">
        <f t="shared" si="149"/>
        <v>0</v>
      </c>
      <c r="W67" s="667">
        <f t="shared" si="150"/>
        <v>0</v>
      </c>
      <c r="X67" s="666"/>
      <c r="Y67" s="666"/>
      <c r="Z67" s="666"/>
      <c r="AA67" s="666"/>
      <c r="AB67" s="666"/>
      <c r="AC67" s="666"/>
      <c r="AD67" s="666"/>
      <c r="AE67" s="666"/>
      <c r="AF67" s="666"/>
      <c r="AG67" s="666"/>
      <c r="AH67" s="666"/>
      <c r="AI67" s="666"/>
      <c r="AJ67" s="666"/>
      <c r="AK67" s="666"/>
      <c r="AL67" s="666"/>
      <c r="AM67" s="666"/>
      <c r="AN67" s="666"/>
      <c r="AO67" s="666"/>
      <c r="AP67" s="666"/>
      <c r="AQ67" s="666"/>
      <c r="AR67" s="666"/>
      <c r="AS67" s="666"/>
      <c r="AT67" s="666"/>
      <c r="AU67" s="666"/>
      <c r="AV67" s="666"/>
      <c r="AW67" s="666"/>
      <c r="AX67" s="666"/>
      <c r="AY67" s="666"/>
      <c r="AZ67" s="666"/>
    </row>
    <row r="68" spans="1:52" ht="12.75" customHeight="1" x14ac:dyDescent="0.2">
      <c r="A68" s="706">
        <f>'Kalkulation Herstellungskosten'!B143</f>
        <v>0</v>
      </c>
      <c r="B68" s="694"/>
      <c r="C68" s="87"/>
      <c r="D68" s="87"/>
      <c r="E68" s="704">
        <f t="shared" si="144"/>
        <v>0</v>
      </c>
      <c r="F68" s="88"/>
      <c r="G68" s="702">
        <f t="shared" si="145"/>
        <v>0</v>
      </c>
      <c r="H68" s="699"/>
      <c r="I68" s="674">
        <f>'Kalkulation Herstellungskosten'!G143/((1+1/6)*1.1041)</f>
        <v>0</v>
      </c>
      <c r="J68" s="675">
        <f t="shared" si="146"/>
        <v>0</v>
      </c>
      <c r="K68" s="675">
        <f t="shared" si="147"/>
        <v>0</v>
      </c>
      <c r="L68" s="667">
        <f t="shared" si="148"/>
        <v>0</v>
      </c>
      <c r="M68" s="675">
        <f>IF('Kalkulation Herstellungskosten'!C143=0,0,IF(I68/'Kalkulation Herstellungskosten'!C143&gt;SVGrund_lfd_wö,'Kalkulation Herstellungskosten'!C143*Höchst_Woche,I68*SV_lfd))</f>
        <v>0</v>
      </c>
      <c r="N68" s="675">
        <f t="shared" si="138"/>
        <v>0</v>
      </c>
      <c r="O68" s="675">
        <f>IF(I68*10.41%&gt;(0.5833*'Kalkulation Herstellungskosten'!C143*SVGrund_lfd_tä),(0.5833*'Kalkulation Herstellungskosten'!C143*Höchst_Tag),I68*10.41%*SV_lfd)</f>
        <v>0</v>
      </c>
      <c r="P68" s="675">
        <f t="shared" si="139"/>
        <v>0</v>
      </c>
      <c r="Q68" s="675">
        <f t="shared" si="140"/>
        <v>0</v>
      </c>
      <c r="R68" s="675">
        <f t="shared" si="141"/>
        <v>0</v>
      </c>
      <c r="S68" s="675">
        <f t="shared" si="142"/>
        <v>0</v>
      </c>
      <c r="T68" s="675">
        <f t="shared" si="143"/>
        <v>0</v>
      </c>
      <c r="U68" s="675">
        <f>'Kalkulation Herstellungskosten'!C143*U_Bahn</f>
        <v>0</v>
      </c>
      <c r="V68" s="667">
        <f t="shared" si="149"/>
        <v>0</v>
      </c>
      <c r="W68" s="667">
        <f t="shared" si="150"/>
        <v>0</v>
      </c>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row>
    <row r="69" spans="1:52" ht="12.75" customHeight="1" x14ac:dyDescent="0.2">
      <c r="A69" s="706">
        <f>'Kalkulation Herstellungskosten'!B144</f>
        <v>0</v>
      </c>
      <c r="B69" s="694"/>
      <c r="C69" s="87"/>
      <c r="D69" s="87"/>
      <c r="E69" s="704">
        <f t="shared" ref="E69:E129" si="151">IF(C69=0,0,(D69-C69+1)/7)</f>
        <v>0</v>
      </c>
      <c r="F69" s="88"/>
      <c r="G69" s="702">
        <f t="shared" ref="G69:G129" si="152">E69*F69</f>
        <v>0</v>
      </c>
      <c r="H69" s="699"/>
      <c r="I69" s="674">
        <f>'Kalkulation Herstellungskosten'!G144/((1+1/6)*1.1041)</f>
        <v>0</v>
      </c>
      <c r="J69" s="675">
        <f t="shared" ref="J69:J79" si="153">I69/6</f>
        <v>0</v>
      </c>
      <c r="K69" s="675">
        <f t="shared" ref="K69:K79" si="154">(I69+J69)*10.41%</f>
        <v>0</v>
      </c>
      <c r="L69" s="667">
        <f t="shared" ref="L69:L79" si="155">SUM(I69:K69)</f>
        <v>0</v>
      </c>
      <c r="M69" s="675">
        <f>IF('Kalkulation Herstellungskosten'!C144=0,0,IF(I69/'Kalkulation Herstellungskosten'!C144&gt;SVGrund_lfd_wö,'Kalkulation Herstellungskosten'!C144*Höchst_Woche,I69*SV_lfd))</f>
        <v>0</v>
      </c>
      <c r="N69" s="675">
        <f t="shared" ref="N69:N79" si="156">IF(J69&gt;SVGrund_SZ, Höchst_Mo_SZ,J69*SV_SZ)</f>
        <v>0</v>
      </c>
      <c r="O69" s="675">
        <f>IF(I69*10.41%&gt;(0.5833*'Kalkulation Herstellungskosten'!C144*SVGrund_lfd_tä),(0.5833*'Kalkulation Herstellungskosten'!C144*Höchst_Tag),I69*10.41%*SV_lfd)</f>
        <v>0</v>
      </c>
      <c r="P69" s="675">
        <f t="shared" ref="P69:P79" si="157">IF(J69&gt;SVGrund_SZ,0,IF(J69*10.41%&gt;(SVGrund_SZ-J69),(SVGrund_SZ-J69)*SV_SZ,J69*10.41%*SV_SZ))</f>
        <v>0</v>
      </c>
      <c r="Q69" s="675">
        <f t="shared" ref="Q69:Q79" si="158">L69*MV</f>
        <v>0</v>
      </c>
      <c r="R69" s="675">
        <f t="shared" ref="R69:R79" si="159">L69*DB</f>
        <v>0</v>
      </c>
      <c r="S69" s="675">
        <f t="shared" ref="S69:S79" si="160">L69*DZ</f>
        <v>0</v>
      </c>
      <c r="T69" s="675">
        <f t="shared" ref="T69:T79" si="161">L69*KommSt</f>
        <v>0</v>
      </c>
      <c r="U69" s="675">
        <f>'Kalkulation Herstellungskosten'!C144*U_Bahn</f>
        <v>0</v>
      </c>
      <c r="V69" s="667">
        <f t="shared" ref="V69:V79" si="162">SUM(M69:U69)</f>
        <v>0</v>
      </c>
      <c r="W69" s="667">
        <f t="shared" si="150"/>
        <v>0</v>
      </c>
      <c r="X69" s="666"/>
      <c r="Y69" s="666"/>
      <c r="Z69" s="666"/>
      <c r="AA69" s="666"/>
      <c r="AB69" s="666"/>
      <c r="AC69" s="666"/>
      <c r="AD69" s="666"/>
      <c r="AE69" s="666"/>
      <c r="AF69" s="666"/>
      <c r="AG69" s="666"/>
      <c r="AH69" s="666"/>
      <c r="AI69" s="666"/>
      <c r="AJ69" s="666"/>
      <c r="AK69" s="666"/>
      <c r="AL69" s="666"/>
      <c r="AM69" s="666"/>
      <c r="AN69" s="666"/>
      <c r="AO69" s="666"/>
      <c r="AP69" s="666"/>
      <c r="AQ69" s="666"/>
      <c r="AR69" s="666"/>
      <c r="AS69" s="666"/>
      <c r="AT69" s="666"/>
      <c r="AU69" s="666"/>
      <c r="AV69" s="666"/>
      <c r="AW69" s="666"/>
      <c r="AX69" s="666"/>
      <c r="AY69" s="666"/>
      <c r="AZ69" s="666"/>
    </row>
    <row r="70" spans="1:52" ht="12.75" customHeight="1" x14ac:dyDescent="0.2">
      <c r="A70" s="706">
        <f>'Kalkulation Herstellungskosten'!B145</f>
        <v>0</v>
      </c>
      <c r="B70" s="694"/>
      <c r="C70" s="87"/>
      <c r="D70" s="87"/>
      <c r="E70" s="704">
        <f t="shared" si="151"/>
        <v>0</v>
      </c>
      <c r="F70" s="88"/>
      <c r="G70" s="702">
        <f t="shared" si="152"/>
        <v>0</v>
      </c>
      <c r="H70" s="699"/>
      <c r="I70" s="674">
        <f>'Kalkulation Herstellungskosten'!G145/((1+1/6)*1.1041)</f>
        <v>0</v>
      </c>
      <c r="J70" s="675">
        <f t="shared" si="153"/>
        <v>0</v>
      </c>
      <c r="K70" s="675">
        <f t="shared" si="154"/>
        <v>0</v>
      </c>
      <c r="L70" s="667">
        <f t="shared" si="155"/>
        <v>0</v>
      </c>
      <c r="M70" s="675">
        <f>IF('Kalkulation Herstellungskosten'!C145=0,0,IF(I70/'Kalkulation Herstellungskosten'!C145&gt;SVGrund_lfd_wö,'Kalkulation Herstellungskosten'!C145*Höchst_Woche,I70*SV_lfd))</f>
        <v>0</v>
      </c>
      <c r="N70" s="675">
        <f t="shared" si="156"/>
        <v>0</v>
      </c>
      <c r="O70" s="675">
        <f>IF(I70*10.41%&gt;(0.5833*'Kalkulation Herstellungskosten'!C145*SVGrund_lfd_tä),(0.5833*'Kalkulation Herstellungskosten'!C145*Höchst_Tag),I70*10.41%*SV_lfd)</f>
        <v>0</v>
      </c>
      <c r="P70" s="675">
        <f t="shared" si="157"/>
        <v>0</v>
      </c>
      <c r="Q70" s="675">
        <f t="shared" si="158"/>
        <v>0</v>
      </c>
      <c r="R70" s="675">
        <f t="shared" si="159"/>
        <v>0</v>
      </c>
      <c r="S70" s="675">
        <f t="shared" si="160"/>
        <v>0</v>
      </c>
      <c r="T70" s="675">
        <f t="shared" si="161"/>
        <v>0</v>
      </c>
      <c r="U70" s="675">
        <f>'Kalkulation Herstellungskosten'!C145*U_Bahn</f>
        <v>0</v>
      </c>
      <c r="V70" s="667">
        <f t="shared" si="162"/>
        <v>0</v>
      </c>
      <c r="W70" s="667">
        <f t="shared" si="150"/>
        <v>0</v>
      </c>
      <c r="X70" s="666"/>
      <c r="Y70" s="666"/>
      <c r="Z70" s="666"/>
      <c r="AA70" s="666"/>
      <c r="AB70" s="666"/>
      <c r="AC70" s="666"/>
      <c r="AD70" s="666"/>
      <c r="AE70" s="666"/>
      <c r="AF70" s="666"/>
      <c r="AG70" s="666"/>
      <c r="AH70" s="666"/>
      <c r="AI70" s="666"/>
      <c r="AJ70" s="666"/>
      <c r="AK70" s="666"/>
      <c r="AL70" s="666"/>
      <c r="AM70" s="666"/>
      <c r="AN70" s="666"/>
      <c r="AO70" s="666"/>
      <c r="AP70" s="666"/>
      <c r="AQ70" s="666"/>
      <c r="AR70" s="666"/>
      <c r="AS70" s="666"/>
      <c r="AT70" s="666"/>
      <c r="AU70" s="666"/>
      <c r="AV70" s="666"/>
      <c r="AW70" s="666"/>
      <c r="AX70" s="666"/>
      <c r="AY70" s="666"/>
      <c r="AZ70" s="666"/>
    </row>
    <row r="71" spans="1:52" ht="12.75" customHeight="1" x14ac:dyDescent="0.2">
      <c r="A71" s="706">
        <f>'Kalkulation Herstellungskosten'!B146</f>
        <v>0</v>
      </c>
      <c r="B71" s="694"/>
      <c r="C71" s="87"/>
      <c r="D71" s="87"/>
      <c r="E71" s="704">
        <f t="shared" si="151"/>
        <v>0</v>
      </c>
      <c r="F71" s="88"/>
      <c r="G71" s="702">
        <f t="shared" si="152"/>
        <v>0</v>
      </c>
      <c r="H71" s="699"/>
      <c r="I71" s="674">
        <f>'Kalkulation Herstellungskosten'!G146/((1+1/6)*1.1041)</f>
        <v>0</v>
      </c>
      <c r="J71" s="675">
        <f t="shared" si="153"/>
        <v>0</v>
      </c>
      <c r="K71" s="675">
        <f t="shared" si="154"/>
        <v>0</v>
      </c>
      <c r="L71" s="667">
        <f t="shared" si="155"/>
        <v>0</v>
      </c>
      <c r="M71" s="675">
        <f>IF('Kalkulation Herstellungskosten'!C146=0,0,IF(I71/'Kalkulation Herstellungskosten'!C146&gt;SVGrund_lfd_wö,'Kalkulation Herstellungskosten'!C146*Höchst_Woche,I71*SV_lfd))</f>
        <v>0</v>
      </c>
      <c r="N71" s="675">
        <f t="shared" si="156"/>
        <v>0</v>
      </c>
      <c r="O71" s="675">
        <f>IF(I71*10.41%&gt;(0.5833*'Kalkulation Herstellungskosten'!C146*SVGrund_lfd_tä),(0.5833*'Kalkulation Herstellungskosten'!C146*Höchst_Tag),I71*10.41%*SV_lfd)</f>
        <v>0</v>
      </c>
      <c r="P71" s="675">
        <f t="shared" si="157"/>
        <v>0</v>
      </c>
      <c r="Q71" s="675">
        <f t="shared" si="158"/>
        <v>0</v>
      </c>
      <c r="R71" s="675">
        <f t="shared" si="159"/>
        <v>0</v>
      </c>
      <c r="S71" s="675">
        <f t="shared" si="160"/>
        <v>0</v>
      </c>
      <c r="T71" s="675">
        <f t="shared" si="161"/>
        <v>0</v>
      </c>
      <c r="U71" s="675">
        <f>'Kalkulation Herstellungskosten'!C146*U_Bahn</f>
        <v>0</v>
      </c>
      <c r="V71" s="667">
        <f t="shared" si="162"/>
        <v>0</v>
      </c>
      <c r="W71" s="667">
        <f t="shared" si="150"/>
        <v>0</v>
      </c>
      <c r="X71" s="666"/>
      <c r="Y71" s="666"/>
      <c r="Z71" s="666"/>
      <c r="AA71" s="666"/>
      <c r="AB71" s="666"/>
      <c r="AC71" s="666"/>
      <c r="AD71" s="666"/>
      <c r="AE71" s="666"/>
      <c r="AF71" s="666"/>
      <c r="AG71" s="666"/>
      <c r="AH71" s="666"/>
      <c r="AI71" s="666"/>
      <c r="AJ71" s="666"/>
      <c r="AK71" s="666"/>
      <c r="AL71" s="666"/>
      <c r="AM71" s="666"/>
      <c r="AN71" s="666"/>
      <c r="AO71" s="666"/>
      <c r="AP71" s="666"/>
      <c r="AQ71" s="666"/>
      <c r="AR71" s="666"/>
      <c r="AS71" s="666"/>
      <c r="AT71" s="666"/>
      <c r="AU71" s="666"/>
      <c r="AV71" s="666"/>
      <c r="AW71" s="666"/>
      <c r="AX71" s="666"/>
      <c r="AY71" s="666"/>
      <c r="AZ71" s="666"/>
    </row>
    <row r="72" spans="1:52" ht="12.75" customHeight="1" x14ac:dyDescent="0.2">
      <c r="A72" s="706">
        <f>'Kalkulation Herstellungskosten'!B147</f>
        <v>0</v>
      </c>
      <c r="B72" s="694"/>
      <c r="C72" s="87"/>
      <c r="D72" s="87"/>
      <c r="E72" s="704">
        <f t="shared" si="151"/>
        <v>0</v>
      </c>
      <c r="F72" s="88"/>
      <c r="G72" s="702">
        <f t="shared" si="152"/>
        <v>0</v>
      </c>
      <c r="H72" s="699"/>
      <c r="I72" s="674">
        <f>'Kalkulation Herstellungskosten'!G147/((1+1/6)*1.1041)</f>
        <v>0</v>
      </c>
      <c r="J72" s="675">
        <f t="shared" si="153"/>
        <v>0</v>
      </c>
      <c r="K72" s="675">
        <f t="shared" si="154"/>
        <v>0</v>
      </c>
      <c r="L72" s="667">
        <f t="shared" si="155"/>
        <v>0</v>
      </c>
      <c r="M72" s="675">
        <f>IF('Kalkulation Herstellungskosten'!C147=0,0,IF(I72/'Kalkulation Herstellungskosten'!C147&gt;SVGrund_lfd_wö,'Kalkulation Herstellungskosten'!C147*Höchst_Woche,I72*SV_lfd))</f>
        <v>0</v>
      </c>
      <c r="N72" s="675">
        <f t="shared" si="156"/>
        <v>0</v>
      </c>
      <c r="O72" s="675">
        <f>IF(I72*10.41%&gt;(0.5833*'Kalkulation Herstellungskosten'!C147*SVGrund_lfd_tä),(0.5833*'Kalkulation Herstellungskosten'!C147*Höchst_Tag),I72*10.41%*SV_lfd)</f>
        <v>0</v>
      </c>
      <c r="P72" s="675">
        <f t="shared" si="157"/>
        <v>0</v>
      </c>
      <c r="Q72" s="675">
        <f t="shared" si="158"/>
        <v>0</v>
      </c>
      <c r="R72" s="675">
        <f t="shared" si="159"/>
        <v>0</v>
      </c>
      <c r="S72" s="675">
        <f t="shared" si="160"/>
        <v>0</v>
      </c>
      <c r="T72" s="675">
        <f t="shared" si="161"/>
        <v>0</v>
      </c>
      <c r="U72" s="675">
        <f>'Kalkulation Herstellungskosten'!C147*U_Bahn</f>
        <v>0</v>
      </c>
      <c r="V72" s="667">
        <f t="shared" si="162"/>
        <v>0</v>
      </c>
      <c r="W72" s="667">
        <f t="shared" si="150"/>
        <v>0</v>
      </c>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6"/>
      <c r="AV72" s="666"/>
      <c r="AW72" s="666"/>
      <c r="AX72" s="666"/>
      <c r="AY72" s="666"/>
      <c r="AZ72" s="666"/>
    </row>
    <row r="73" spans="1:52" ht="12.75" customHeight="1" x14ac:dyDescent="0.2">
      <c r="A73" s="706">
        <f>'Kalkulation Herstellungskosten'!B148</f>
        <v>0</v>
      </c>
      <c r="B73" s="694"/>
      <c r="C73" s="87"/>
      <c r="D73" s="87"/>
      <c r="E73" s="704">
        <f t="shared" si="151"/>
        <v>0</v>
      </c>
      <c r="F73" s="88"/>
      <c r="G73" s="702">
        <f t="shared" si="152"/>
        <v>0</v>
      </c>
      <c r="H73" s="699"/>
      <c r="I73" s="674">
        <f>'Kalkulation Herstellungskosten'!G148/((1+1/6)*1.1041)</f>
        <v>0</v>
      </c>
      <c r="J73" s="675">
        <f t="shared" si="153"/>
        <v>0</v>
      </c>
      <c r="K73" s="675">
        <f t="shared" si="154"/>
        <v>0</v>
      </c>
      <c r="L73" s="667">
        <f t="shared" si="155"/>
        <v>0</v>
      </c>
      <c r="M73" s="675">
        <f>IF('Kalkulation Herstellungskosten'!C148=0,0,IF(I73/'Kalkulation Herstellungskosten'!C148&gt;SVGrund_lfd_wö,'Kalkulation Herstellungskosten'!C148*Höchst_Woche,I73*SV_lfd))</f>
        <v>0</v>
      </c>
      <c r="N73" s="675">
        <f t="shared" si="156"/>
        <v>0</v>
      </c>
      <c r="O73" s="675">
        <f>IF(I73*10.41%&gt;(0.5833*'Kalkulation Herstellungskosten'!C148*SVGrund_lfd_tä),(0.5833*'Kalkulation Herstellungskosten'!C148*Höchst_Tag),I73*10.41%*SV_lfd)</f>
        <v>0</v>
      </c>
      <c r="P73" s="675">
        <f t="shared" si="157"/>
        <v>0</v>
      </c>
      <c r="Q73" s="675">
        <f t="shared" si="158"/>
        <v>0</v>
      </c>
      <c r="R73" s="675">
        <f t="shared" si="159"/>
        <v>0</v>
      </c>
      <c r="S73" s="675">
        <f t="shared" si="160"/>
        <v>0</v>
      </c>
      <c r="T73" s="675">
        <f t="shared" si="161"/>
        <v>0</v>
      </c>
      <c r="U73" s="675">
        <f>'Kalkulation Herstellungskosten'!C148*U_Bahn</f>
        <v>0</v>
      </c>
      <c r="V73" s="667">
        <f t="shared" si="162"/>
        <v>0</v>
      </c>
      <c r="W73" s="667">
        <f t="shared" si="150"/>
        <v>0</v>
      </c>
      <c r="X73" s="666"/>
      <c r="Y73" s="666"/>
      <c r="Z73" s="666"/>
      <c r="AA73" s="666"/>
      <c r="AB73" s="666"/>
      <c r="AC73" s="666"/>
      <c r="AD73" s="666"/>
      <c r="AE73" s="666"/>
      <c r="AF73" s="666"/>
      <c r="AG73" s="666"/>
      <c r="AH73" s="666"/>
      <c r="AI73" s="666"/>
      <c r="AJ73" s="666"/>
      <c r="AK73" s="666"/>
      <c r="AL73" s="666"/>
      <c r="AM73" s="666"/>
      <c r="AN73" s="666"/>
      <c r="AO73" s="666"/>
      <c r="AP73" s="666"/>
      <c r="AQ73" s="666"/>
      <c r="AR73" s="666"/>
      <c r="AS73" s="666"/>
      <c r="AT73" s="666"/>
      <c r="AU73" s="666"/>
      <c r="AV73" s="666"/>
      <c r="AW73" s="666"/>
      <c r="AX73" s="666"/>
      <c r="AY73" s="666"/>
      <c r="AZ73" s="666"/>
    </row>
    <row r="74" spans="1:52" ht="12.75" customHeight="1" x14ac:dyDescent="0.2">
      <c r="A74" s="706">
        <f>'Kalkulation Herstellungskosten'!B149</f>
        <v>0</v>
      </c>
      <c r="B74" s="694"/>
      <c r="C74" s="87"/>
      <c r="D74" s="87"/>
      <c r="E74" s="704">
        <f t="shared" si="151"/>
        <v>0</v>
      </c>
      <c r="F74" s="88"/>
      <c r="G74" s="702">
        <f t="shared" si="152"/>
        <v>0</v>
      </c>
      <c r="H74" s="699"/>
      <c r="I74" s="674">
        <f>'Kalkulation Herstellungskosten'!G149/((1+1/6)*1.1041)</f>
        <v>0</v>
      </c>
      <c r="J74" s="675">
        <f t="shared" si="153"/>
        <v>0</v>
      </c>
      <c r="K74" s="675">
        <f t="shared" si="154"/>
        <v>0</v>
      </c>
      <c r="L74" s="667">
        <f t="shared" si="155"/>
        <v>0</v>
      </c>
      <c r="M74" s="675">
        <f>IF('Kalkulation Herstellungskosten'!C149=0,0,IF(I74/'Kalkulation Herstellungskosten'!C149&gt;SVGrund_lfd_wö,'Kalkulation Herstellungskosten'!C149*Höchst_Woche,I74*SV_lfd))</f>
        <v>0</v>
      </c>
      <c r="N74" s="675">
        <f t="shared" si="156"/>
        <v>0</v>
      </c>
      <c r="O74" s="675">
        <f>IF(I74*10.41%&gt;(0.5833*'Kalkulation Herstellungskosten'!C149*SVGrund_lfd_tä),(0.5833*'Kalkulation Herstellungskosten'!C149*Höchst_Tag),I74*10.41%*SV_lfd)</f>
        <v>0</v>
      </c>
      <c r="P74" s="675">
        <f t="shared" si="157"/>
        <v>0</v>
      </c>
      <c r="Q74" s="675">
        <f t="shared" si="158"/>
        <v>0</v>
      </c>
      <c r="R74" s="675">
        <f t="shared" si="159"/>
        <v>0</v>
      </c>
      <c r="S74" s="675">
        <f t="shared" si="160"/>
        <v>0</v>
      </c>
      <c r="T74" s="675">
        <f t="shared" si="161"/>
        <v>0</v>
      </c>
      <c r="U74" s="675">
        <f>'Kalkulation Herstellungskosten'!C149*U_Bahn</f>
        <v>0</v>
      </c>
      <c r="V74" s="667">
        <f t="shared" si="162"/>
        <v>0</v>
      </c>
      <c r="W74" s="667">
        <f t="shared" si="150"/>
        <v>0</v>
      </c>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6"/>
    </row>
    <row r="75" spans="1:52" ht="12.75" customHeight="1" x14ac:dyDescent="0.2">
      <c r="A75" s="706">
        <f>'Kalkulation Herstellungskosten'!B150</f>
        <v>0</v>
      </c>
      <c r="B75" s="694"/>
      <c r="C75" s="87"/>
      <c r="D75" s="87"/>
      <c r="E75" s="704">
        <f t="shared" si="151"/>
        <v>0</v>
      </c>
      <c r="F75" s="88"/>
      <c r="G75" s="702">
        <f t="shared" si="152"/>
        <v>0</v>
      </c>
      <c r="H75" s="699"/>
      <c r="I75" s="674">
        <f>'Kalkulation Herstellungskosten'!G150/((1+1/6)*1.1041)</f>
        <v>0</v>
      </c>
      <c r="J75" s="675">
        <f t="shared" si="153"/>
        <v>0</v>
      </c>
      <c r="K75" s="675">
        <f t="shared" si="154"/>
        <v>0</v>
      </c>
      <c r="L75" s="667">
        <f t="shared" si="155"/>
        <v>0</v>
      </c>
      <c r="M75" s="675">
        <f>IF('Kalkulation Herstellungskosten'!C150=0,0,IF(I75/'Kalkulation Herstellungskosten'!C150&gt;SVGrund_lfd_wö,'Kalkulation Herstellungskosten'!C150*Höchst_Woche,I75*SV_lfd))</f>
        <v>0</v>
      </c>
      <c r="N75" s="675">
        <f t="shared" si="156"/>
        <v>0</v>
      </c>
      <c r="O75" s="675">
        <f>IF(I75*10.41%&gt;(0.5833*'Kalkulation Herstellungskosten'!C150*SVGrund_lfd_tä),(0.5833*'Kalkulation Herstellungskosten'!C150*Höchst_Tag),I75*10.41%*SV_lfd)</f>
        <v>0</v>
      </c>
      <c r="P75" s="675">
        <f t="shared" si="157"/>
        <v>0</v>
      </c>
      <c r="Q75" s="675">
        <f t="shared" si="158"/>
        <v>0</v>
      </c>
      <c r="R75" s="675">
        <f t="shared" si="159"/>
        <v>0</v>
      </c>
      <c r="S75" s="675">
        <f t="shared" si="160"/>
        <v>0</v>
      </c>
      <c r="T75" s="675">
        <f t="shared" si="161"/>
        <v>0</v>
      </c>
      <c r="U75" s="675">
        <f>'Kalkulation Herstellungskosten'!C150*U_Bahn</f>
        <v>0</v>
      </c>
      <c r="V75" s="667">
        <f t="shared" si="162"/>
        <v>0</v>
      </c>
      <c r="W75" s="667">
        <f t="shared" si="150"/>
        <v>0</v>
      </c>
      <c r="X75" s="666"/>
      <c r="Y75" s="666"/>
      <c r="Z75" s="666"/>
      <c r="AA75" s="666"/>
      <c r="AB75" s="666"/>
      <c r="AC75" s="666"/>
      <c r="AD75" s="666"/>
      <c r="AE75" s="666"/>
      <c r="AF75" s="666"/>
      <c r="AG75" s="666"/>
      <c r="AH75" s="666"/>
      <c r="AI75" s="666"/>
      <c r="AJ75" s="666"/>
      <c r="AK75" s="666"/>
      <c r="AL75" s="666"/>
      <c r="AM75" s="666"/>
      <c r="AN75" s="666"/>
      <c r="AO75" s="666"/>
      <c r="AP75" s="666"/>
      <c r="AQ75" s="666"/>
      <c r="AR75" s="666"/>
      <c r="AS75" s="666"/>
      <c r="AT75" s="666"/>
      <c r="AU75" s="666"/>
      <c r="AV75" s="666"/>
      <c r="AW75" s="666"/>
      <c r="AX75" s="666"/>
      <c r="AY75" s="666"/>
      <c r="AZ75" s="666"/>
    </row>
    <row r="76" spans="1:52" ht="12.75" customHeight="1" x14ac:dyDescent="0.2">
      <c r="A76" s="706">
        <f>'Kalkulation Herstellungskosten'!B151</f>
        <v>0</v>
      </c>
      <c r="B76" s="694"/>
      <c r="C76" s="87"/>
      <c r="D76" s="87"/>
      <c r="E76" s="704">
        <f t="shared" si="151"/>
        <v>0</v>
      </c>
      <c r="F76" s="88"/>
      <c r="G76" s="702">
        <f t="shared" si="152"/>
        <v>0</v>
      </c>
      <c r="H76" s="699"/>
      <c r="I76" s="674">
        <f>'Kalkulation Herstellungskosten'!G151/((1+1/6)*1.1041)</f>
        <v>0</v>
      </c>
      <c r="J76" s="675">
        <f t="shared" si="153"/>
        <v>0</v>
      </c>
      <c r="K76" s="675">
        <f t="shared" si="154"/>
        <v>0</v>
      </c>
      <c r="L76" s="667">
        <f t="shared" si="155"/>
        <v>0</v>
      </c>
      <c r="M76" s="675">
        <f>IF('Kalkulation Herstellungskosten'!C151=0,0,IF(I76/'Kalkulation Herstellungskosten'!C151&gt;SVGrund_lfd_wö,'Kalkulation Herstellungskosten'!C151*Höchst_Woche,I76*SV_lfd))</f>
        <v>0</v>
      </c>
      <c r="N76" s="675">
        <f t="shared" si="156"/>
        <v>0</v>
      </c>
      <c r="O76" s="675">
        <f>IF(I76*10.41%&gt;(0.5833*'Kalkulation Herstellungskosten'!C151*SVGrund_lfd_tä),(0.5833*'Kalkulation Herstellungskosten'!C151*Höchst_Tag),I76*10.41%*SV_lfd)</f>
        <v>0</v>
      </c>
      <c r="P76" s="675">
        <f t="shared" si="157"/>
        <v>0</v>
      </c>
      <c r="Q76" s="675">
        <f t="shared" si="158"/>
        <v>0</v>
      </c>
      <c r="R76" s="675">
        <f t="shared" si="159"/>
        <v>0</v>
      </c>
      <c r="S76" s="675">
        <f t="shared" si="160"/>
        <v>0</v>
      </c>
      <c r="T76" s="675">
        <f t="shared" si="161"/>
        <v>0</v>
      </c>
      <c r="U76" s="675">
        <f>'Kalkulation Herstellungskosten'!C151*U_Bahn</f>
        <v>0</v>
      </c>
      <c r="V76" s="667">
        <f t="shared" si="162"/>
        <v>0</v>
      </c>
      <c r="W76" s="667">
        <f t="shared" si="150"/>
        <v>0</v>
      </c>
      <c r="X76" s="666"/>
      <c r="Y76" s="666"/>
      <c r="Z76" s="666"/>
      <c r="AA76" s="666"/>
      <c r="AB76" s="666"/>
      <c r="AC76" s="666"/>
      <c r="AD76" s="666"/>
      <c r="AE76" s="666"/>
      <c r="AF76" s="666"/>
      <c r="AG76" s="666"/>
      <c r="AH76" s="666"/>
      <c r="AI76" s="666"/>
      <c r="AJ76" s="666"/>
      <c r="AK76" s="666"/>
      <c r="AL76" s="666"/>
      <c r="AM76" s="666"/>
      <c r="AN76" s="666"/>
      <c r="AO76" s="666"/>
      <c r="AP76" s="666"/>
      <c r="AQ76" s="666"/>
      <c r="AR76" s="666"/>
      <c r="AS76" s="666"/>
      <c r="AT76" s="666"/>
      <c r="AU76" s="666"/>
      <c r="AV76" s="666"/>
      <c r="AW76" s="666"/>
      <c r="AX76" s="666"/>
      <c r="AY76" s="666"/>
      <c r="AZ76" s="666"/>
    </row>
    <row r="77" spans="1:52" ht="12.75" customHeight="1" x14ac:dyDescent="0.2">
      <c r="A77" s="706">
        <f>'Kalkulation Herstellungskosten'!B152</f>
        <v>0</v>
      </c>
      <c r="B77" s="694"/>
      <c r="C77" s="87"/>
      <c r="D77" s="87"/>
      <c r="E77" s="704">
        <f t="shared" si="151"/>
        <v>0</v>
      </c>
      <c r="F77" s="88"/>
      <c r="G77" s="702">
        <f t="shared" si="152"/>
        <v>0</v>
      </c>
      <c r="H77" s="699"/>
      <c r="I77" s="674">
        <f>'Kalkulation Herstellungskosten'!G152/((1+1/6)*1.1041)</f>
        <v>0</v>
      </c>
      <c r="J77" s="675">
        <f t="shared" si="153"/>
        <v>0</v>
      </c>
      <c r="K77" s="675">
        <f t="shared" si="154"/>
        <v>0</v>
      </c>
      <c r="L77" s="667">
        <f t="shared" si="155"/>
        <v>0</v>
      </c>
      <c r="M77" s="675">
        <f>IF('Kalkulation Herstellungskosten'!C152=0,0,IF(I77/'Kalkulation Herstellungskosten'!C152&gt;SVGrund_lfd_wö,'Kalkulation Herstellungskosten'!C152*Höchst_Woche,I77*SV_lfd))</f>
        <v>0</v>
      </c>
      <c r="N77" s="675">
        <f t="shared" si="156"/>
        <v>0</v>
      </c>
      <c r="O77" s="675">
        <f>IF(I77*10.41%&gt;(0.5833*'Kalkulation Herstellungskosten'!C152*SVGrund_lfd_tä),(0.5833*'Kalkulation Herstellungskosten'!C152*Höchst_Tag),I77*10.41%*SV_lfd)</f>
        <v>0</v>
      </c>
      <c r="P77" s="675">
        <f t="shared" si="157"/>
        <v>0</v>
      </c>
      <c r="Q77" s="675">
        <f t="shared" si="158"/>
        <v>0</v>
      </c>
      <c r="R77" s="675">
        <f t="shared" si="159"/>
        <v>0</v>
      </c>
      <c r="S77" s="675">
        <f t="shared" si="160"/>
        <v>0</v>
      </c>
      <c r="T77" s="675">
        <f t="shared" si="161"/>
        <v>0</v>
      </c>
      <c r="U77" s="675">
        <f>'Kalkulation Herstellungskosten'!C152*U_Bahn</f>
        <v>0</v>
      </c>
      <c r="V77" s="667">
        <f t="shared" si="162"/>
        <v>0</v>
      </c>
      <c r="W77" s="667">
        <f t="shared" si="150"/>
        <v>0</v>
      </c>
      <c r="X77" s="666"/>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6"/>
      <c r="AV77" s="666"/>
      <c r="AW77" s="666"/>
      <c r="AX77" s="666"/>
      <c r="AY77" s="666"/>
      <c r="AZ77" s="666"/>
    </row>
    <row r="78" spans="1:52" ht="12.75" customHeight="1" x14ac:dyDescent="0.2">
      <c r="A78" s="706">
        <f>'Kalkulation Herstellungskosten'!B153</f>
        <v>0</v>
      </c>
      <c r="B78" s="694"/>
      <c r="C78" s="87"/>
      <c r="D78" s="87"/>
      <c r="E78" s="704">
        <f t="shared" si="151"/>
        <v>0</v>
      </c>
      <c r="F78" s="88"/>
      <c r="G78" s="702">
        <f t="shared" si="152"/>
        <v>0</v>
      </c>
      <c r="H78" s="699"/>
      <c r="I78" s="674">
        <f>'Kalkulation Herstellungskosten'!G153/((1+1/6)*1.1041)</f>
        <v>0</v>
      </c>
      <c r="J78" s="675">
        <f t="shared" si="153"/>
        <v>0</v>
      </c>
      <c r="K78" s="675">
        <f t="shared" si="154"/>
        <v>0</v>
      </c>
      <c r="L78" s="667">
        <f t="shared" si="155"/>
        <v>0</v>
      </c>
      <c r="M78" s="675">
        <f>IF('Kalkulation Herstellungskosten'!C153=0,0,IF(I78/'Kalkulation Herstellungskosten'!C153&gt;SVGrund_lfd_wö,'Kalkulation Herstellungskosten'!C153*Höchst_Woche,I78*SV_lfd))</f>
        <v>0</v>
      </c>
      <c r="N78" s="675">
        <f t="shared" si="156"/>
        <v>0</v>
      </c>
      <c r="O78" s="675">
        <f>IF(I78*10.41%&gt;(0.5833*'Kalkulation Herstellungskosten'!C153*SVGrund_lfd_tä),(0.5833*'Kalkulation Herstellungskosten'!C153*Höchst_Tag),I78*10.41%*SV_lfd)</f>
        <v>0</v>
      </c>
      <c r="P78" s="675">
        <f t="shared" si="157"/>
        <v>0</v>
      </c>
      <c r="Q78" s="675">
        <f t="shared" si="158"/>
        <v>0</v>
      </c>
      <c r="R78" s="675">
        <f t="shared" si="159"/>
        <v>0</v>
      </c>
      <c r="S78" s="675">
        <f t="shared" si="160"/>
        <v>0</v>
      </c>
      <c r="T78" s="675">
        <f t="shared" si="161"/>
        <v>0</v>
      </c>
      <c r="U78" s="675">
        <f>'Kalkulation Herstellungskosten'!C153*U_Bahn</f>
        <v>0</v>
      </c>
      <c r="V78" s="667">
        <f t="shared" si="162"/>
        <v>0</v>
      </c>
      <c r="W78" s="667">
        <f t="shared" si="150"/>
        <v>0</v>
      </c>
      <c r="X78" s="666"/>
      <c r="Y78" s="666"/>
      <c r="Z78" s="666"/>
      <c r="AA78" s="666"/>
      <c r="AB78" s="666"/>
      <c r="AC78" s="666"/>
      <c r="AD78" s="666"/>
      <c r="AE78" s="666"/>
      <c r="AF78" s="666"/>
      <c r="AG78" s="666"/>
      <c r="AH78" s="666"/>
      <c r="AI78" s="666"/>
      <c r="AJ78" s="666"/>
      <c r="AK78" s="666"/>
      <c r="AL78" s="666"/>
      <c r="AM78" s="666"/>
      <c r="AN78" s="666"/>
      <c r="AO78" s="666"/>
      <c r="AP78" s="666"/>
      <c r="AQ78" s="666"/>
      <c r="AR78" s="666"/>
      <c r="AS78" s="666"/>
      <c r="AT78" s="666"/>
      <c r="AU78" s="666"/>
      <c r="AV78" s="666"/>
      <c r="AW78" s="666"/>
      <c r="AX78" s="666"/>
      <c r="AY78" s="666"/>
      <c r="AZ78" s="666"/>
    </row>
    <row r="79" spans="1:52" ht="12.75" customHeight="1" x14ac:dyDescent="0.2">
      <c r="A79" s="706">
        <f>'Kalkulation Herstellungskosten'!B154</f>
        <v>0</v>
      </c>
      <c r="B79" s="694"/>
      <c r="C79" s="87"/>
      <c r="D79" s="87"/>
      <c r="E79" s="704">
        <f t="shared" si="151"/>
        <v>0</v>
      </c>
      <c r="F79" s="88"/>
      <c r="G79" s="702">
        <f t="shared" si="152"/>
        <v>0</v>
      </c>
      <c r="H79" s="699"/>
      <c r="I79" s="674">
        <f>'Kalkulation Herstellungskosten'!G154/((1+1/6)*1.1041)</f>
        <v>0</v>
      </c>
      <c r="J79" s="675">
        <f t="shared" si="153"/>
        <v>0</v>
      </c>
      <c r="K79" s="675">
        <f t="shared" si="154"/>
        <v>0</v>
      </c>
      <c r="L79" s="667">
        <f t="shared" si="155"/>
        <v>0</v>
      </c>
      <c r="M79" s="675">
        <f>IF('Kalkulation Herstellungskosten'!C154=0,0,IF(I79/'Kalkulation Herstellungskosten'!C154&gt;SVGrund_lfd_wö,'Kalkulation Herstellungskosten'!C154*Höchst_Woche,I79*SV_lfd))</f>
        <v>0</v>
      </c>
      <c r="N79" s="675">
        <f t="shared" si="156"/>
        <v>0</v>
      </c>
      <c r="O79" s="675">
        <f>IF(I79*10.41%&gt;(0.5833*'Kalkulation Herstellungskosten'!C154*SVGrund_lfd_tä),(0.5833*'Kalkulation Herstellungskosten'!C154*Höchst_Tag),I79*10.41%*SV_lfd)</f>
        <v>0</v>
      </c>
      <c r="P79" s="675">
        <f t="shared" si="157"/>
        <v>0</v>
      </c>
      <c r="Q79" s="675">
        <f t="shared" si="158"/>
        <v>0</v>
      </c>
      <c r="R79" s="675">
        <f t="shared" si="159"/>
        <v>0</v>
      </c>
      <c r="S79" s="675">
        <f t="shared" si="160"/>
        <v>0</v>
      </c>
      <c r="T79" s="675">
        <f t="shared" si="161"/>
        <v>0</v>
      </c>
      <c r="U79" s="675">
        <f>'Kalkulation Herstellungskosten'!C154*U_Bahn</f>
        <v>0</v>
      </c>
      <c r="V79" s="667">
        <f t="shared" si="162"/>
        <v>0</v>
      </c>
      <c r="W79" s="667">
        <f t="shared" si="150"/>
        <v>0</v>
      </c>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row>
    <row r="80" spans="1:52" ht="12.75" customHeight="1" x14ac:dyDescent="0.2">
      <c r="A80" s="706">
        <f>'Kalkulation Herstellungskosten'!B155</f>
        <v>0</v>
      </c>
      <c r="B80" s="694"/>
      <c r="C80" s="87"/>
      <c r="D80" s="87"/>
      <c r="E80" s="704">
        <f t="shared" si="151"/>
        <v>0</v>
      </c>
      <c r="F80" s="88"/>
      <c r="G80" s="702">
        <f t="shared" si="152"/>
        <v>0</v>
      </c>
      <c r="H80" s="699"/>
      <c r="I80" s="674">
        <f>'Kalkulation Herstellungskosten'!G155/((1+1/6)*1.1041)</f>
        <v>0</v>
      </c>
      <c r="J80" s="675">
        <f t="shared" ref="J80:J87" si="163">I80/6</f>
        <v>0</v>
      </c>
      <c r="K80" s="675">
        <f t="shared" ref="K80:K87" si="164">(I80+J80)*10.41%</f>
        <v>0</v>
      </c>
      <c r="L80" s="667">
        <f t="shared" ref="L80:L87" si="165">SUM(I80:K80)</f>
        <v>0</v>
      </c>
      <c r="M80" s="675">
        <f>IF('Kalkulation Herstellungskosten'!C155=0,0,IF(I80/'Kalkulation Herstellungskosten'!C155&gt;SVGrund_lfd_wö,'Kalkulation Herstellungskosten'!C155*Höchst_Woche,I80*SV_lfd))</f>
        <v>0</v>
      </c>
      <c r="N80" s="675">
        <f t="shared" ref="N80:N87" si="166">IF(J80&gt;SVGrund_SZ, Höchst_Mo_SZ,J80*SV_SZ)</f>
        <v>0</v>
      </c>
      <c r="O80" s="675">
        <f>IF(I80*10.41%&gt;(0.5833*'Kalkulation Herstellungskosten'!C155*SVGrund_lfd_tä),(0.5833*'Kalkulation Herstellungskosten'!C155*Höchst_Tag),I80*10.41%*SV_lfd)</f>
        <v>0</v>
      </c>
      <c r="P80" s="675">
        <f t="shared" ref="P80:P87" si="167">IF(J80&gt;SVGrund_SZ,0,IF(J80*10.41%&gt;(SVGrund_SZ-J80),(SVGrund_SZ-J80)*SV_SZ,J80*10.41%*SV_SZ))</f>
        <v>0</v>
      </c>
      <c r="Q80" s="675">
        <f t="shared" ref="Q80:Q87" si="168">L80*MV</f>
        <v>0</v>
      </c>
      <c r="R80" s="675">
        <f t="shared" ref="R80:R87" si="169">L80*DB</f>
        <v>0</v>
      </c>
      <c r="S80" s="675">
        <f t="shared" ref="S80:S87" si="170">L80*DZ</f>
        <v>0</v>
      </c>
      <c r="T80" s="675">
        <f t="shared" ref="T80:T87" si="171">L80*KommSt</f>
        <v>0</v>
      </c>
      <c r="U80" s="675">
        <f>'Kalkulation Herstellungskosten'!C155*U_Bahn</f>
        <v>0</v>
      </c>
      <c r="V80" s="667">
        <f t="shared" ref="V80:V87" si="172">SUM(M80:U80)</f>
        <v>0</v>
      </c>
      <c r="W80" s="667">
        <f t="shared" ref="W80:W87" si="173">SUM(L80,V80)</f>
        <v>0</v>
      </c>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row>
    <row r="81" spans="1:52" ht="12.75" customHeight="1" x14ac:dyDescent="0.2">
      <c r="A81" s="706">
        <f>'Kalkulation Herstellungskosten'!B156</f>
        <v>0</v>
      </c>
      <c r="B81" s="694"/>
      <c r="C81" s="87"/>
      <c r="D81" s="87"/>
      <c r="E81" s="704">
        <f t="shared" si="151"/>
        <v>0</v>
      </c>
      <c r="F81" s="88"/>
      <c r="G81" s="702">
        <f t="shared" si="152"/>
        <v>0</v>
      </c>
      <c r="H81" s="699"/>
      <c r="I81" s="674">
        <f>'Kalkulation Herstellungskosten'!G156/((1+1/6)*1.1041)</f>
        <v>0</v>
      </c>
      <c r="J81" s="675">
        <f t="shared" si="163"/>
        <v>0</v>
      </c>
      <c r="K81" s="675">
        <f t="shared" si="164"/>
        <v>0</v>
      </c>
      <c r="L81" s="667">
        <f t="shared" si="165"/>
        <v>0</v>
      </c>
      <c r="M81" s="675">
        <f>IF('Kalkulation Herstellungskosten'!C156=0,0,IF(I81/'Kalkulation Herstellungskosten'!C156&gt;SVGrund_lfd_wö,'Kalkulation Herstellungskosten'!C156*Höchst_Woche,I81*SV_lfd))</f>
        <v>0</v>
      </c>
      <c r="N81" s="675">
        <f t="shared" si="166"/>
        <v>0</v>
      </c>
      <c r="O81" s="675">
        <f>IF(I81*10.41%&gt;(0.5833*'Kalkulation Herstellungskosten'!C156*SVGrund_lfd_tä),(0.5833*'Kalkulation Herstellungskosten'!C156*Höchst_Tag),I81*10.41%*SV_lfd)</f>
        <v>0</v>
      </c>
      <c r="P81" s="675">
        <f t="shared" si="167"/>
        <v>0</v>
      </c>
      <c r="Q81" s="675">
        <f t="shared" si="168"/>
        <v>0</v>
      </c>
      <c r="R81" s="675">
        <f t="shared" si="169"/>
        <v>0</v>
      </c>
      <c r="S81" s="675">
        <f t="shared" si="170"/>
        <v>0</v>
      </c>
      <c r="T81" s="675">
        <f t="shared" si="171"/>
        <v>0</v>
      </c>
      <c r="U81" s="675">
        <f>'Kalkulation Herstellungskosten'!C156*U_Bahn</f>
        <v>0</v>
      </c>
      <c r="V81" s="667">
        <f t="shared" si="172"/>
        <v>0</v>
      </c>
      <c r="W81" s="667">
        <f t="shared" si="173"/>
        <v>0</v>
      </c>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6"/>
    </row>
    <row r="82" spans="1:52" ht="12.75" customHeight="1" x14ac:dyDescent="0.2">
      <c r="A82" s="706">
        <f>'Kalkulation Herstellungskosten'!B157</f>
        <v>0</v>
      </c>
      <c r="B82" s="694"/>
      <c r="C82" s="87"/>
      <c r="D82" s="87"/>
      <c r="E82" s="704">
        <f t="shared" si="151"/>
        <v>0</v>
      </c>
      <c r="F82" s="88"/>
      <c r="G82" s="702">
        <f t="shared" si="152"/>
        <v>0</v>
      </c>
      <c r="H82" s="699"/>
      <c r="I82" s="674">
        <f>'Kalkulation Herstellungskosten'!G157/((1+1/6)*1.1041)</f>
        <v>0</v>
      </c>
      <c r="J82" s="675">
        <f t="shared" si="163"/>
        <v>0</v>
      </c>
      <c r="K82" s="675">
        <f t="shared" si="164"/>
        <v>0</v>
      </c>
      <c r="L82" s="667">
        <f t="shared" si="165"/>
        <v>0</v>
      </c>
      <c r="M82" s="675">
        <f>IF('Kalkulation Herstellungskosten'!C157=0,0,IF(I82/'Kalkulation Herstellungskosten'!C157&gt;SVGrund_lfd_wö,'Kalkulation Herstellungskosten'!C157*Höchst_Woche,I82*SV_lfd))</f>
        <v>0</v>
      </c>
      <c r="N82" s="675">
        <f t="shared" si="166"/>
        <v>0</v>
      </c>
      <c r="O82" s="675">
        <f>IF(I82*10.41%&gt;(0.5833*'Kalkulation Herstellungskosten'!C157*SVGrund_lfd_tä),(0.5833*'Kalkulation Herstellungskosten'!C157*Höchst_Tag),I82*10.41%*SV_lfd)</f>
        <v>0</v>
      </c>
      <c r="P82" s="675">
        <f t="shared" si="167"/>
        <v>0</v>
      </c>
      <c r="Q82" s="675">
        <f t="shared" si="168"/>
        <v>0</v>
      </c>
      <c r="R82" s="675">
        <f t="shared" si="169"/>
        <v>0</v>
      </c>
      <c r="S82" s="675">
        <f t="shared" si="170"/>
        <v>0</v>
      </c>
      <c r="T82" s="675">
        <f t="shared" si="171"/>
        <v>0</v>
      </c>
      <c r="U82" s="675">
        <f>'Kalkulation Herstellungskosten'!C157*U_Bahn</f>
        <v>0</v>
      </c>
      <c r="V82" s="667">
        <f t="shared" si="172"/>
        <v>0</v>
      </c>
      <c r="W82" s="667">
        <f t="shared" si="173"/>
        <v>0</v>
      </c>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row>
    <row r="83" spans="1:52" ht="12.75" customHeight="1" x14ac:dyDescent="0.2">
      <c r="A83" s="706">
        <f>'Kalkulation Herstellungskosten'!B158</f>
        <v>0</v>
      </c>
      <c r="B83" s="694"/>
      <c r="C83" s="87"/>
      <c r="D83" s="87"/>
      <c r="E83" s="704">
        <f t="shared" si="151"/>
        <v>0</v>
      </c>
      <c r="F83" s="88"/>
      <c r="G83" s="702">
        <f t="shared" si="152"/>
        <v>0</v>
      </c>
      <c r="H83" s="699"/>
      <c r="I83" s="674">
        <f>'Kalkulation Herstellungskosten'!G158/((1+1/6)*1.1041)</f>
        <v>0</v>
      </c>
      <c r="J83" s="675">
        <f t="shared" si="163"/>
        <v>0</v>
      </c>
      <c r="K83" s="675">
        <f t="shared" si="164"/>
        <v>0</v>
      </c>
      <c r="L83" s="667">
        <f t="shared" si="165"/>
        <v>0</v>
      </c>
      <c r="M83" s="675">
        <f>IF('Kalkulation Herstellungskosten'!C158=0,0,IF(I83/'Kalkulation Herstellungskosten'!C158&gt;SVGrund_lfd_wö,'Kalkulation Herstellungskosten'!C158*Höchst_Woche,I83*SV_lfd))</f>
        <v>0</v>
      </c>
      <c r="N83" s="675">
        <f t="shared" si="166"/>
        <v>0</v>
      </c>
      <c r="O83" s="675">
        <f>IF(I83*10.41%&gt;(0.5833*'Kalkulation Herstellungskosten'!C158*SVGrund_lfd_tä),(0.5833*'Kalkulation Herstellungskosten'!C158*Höchst_Tag),I83*10.41%*SV_lfd)</f>
        <v>0</v>
      </c>
      <c r="P83" s="675">
        <f t="shared" si="167"/>
        <v>0</v>
      </c>
      <c r="Q83" s="675">
        <f t="shared" si="168"/>
        <v>0</v>
      </c>
      <c r="R83" s="675">
        <f t="shared" si="169"/>
        <v>0</v>
      </c>
      <c r="S83" s="675">
        <f t="shared" si="170"/>
        <v>0</v>
      </c>
      <c r="T83" s="675">
        <f t="shared" si="171"/>
        <v>0</v>
      </c>
      <c r="U83" s="675">
        <f>'Kalkulation Herstellungskosten'!C158*U_Bahn</f>
        <v>0</v>
      </c>
      <c r="V83" s="667">
        <f t="shared" si="172"/>
        <v>0</v>
      </c>
      <c r="W83" s="667">
        <f t="shared" si="173"/>
        <v>0</v>
      </c>
      <c r="X83" s="666"/>
      <c r="Y83" s="666"/>
      <c r="Z83" s="666"/>
      <c r="AA83" s="666"/>
      <c r="AB83" s="666"/>
      <c r="AC83" s="666"/>
      <c r="AD83" s="666"/>
      <c r="AE83" s="666"/>
      <c r="AF83" s="666"/>
      <c r="AG83" s="666"/>
      <c r="AH83" s="666"/>
      <c r="AI83" s="666"/>
      <c r="AJ83" s="666"/>
      <c r="AK83" s="666"/>
      <c r="AL83" s="666"/>
      <c r="AM83" s="666"/>
      <c r="AN83" s="666"/>
      <c r="AO83" s="666"/>
      <c r="AP83" s="666"/>
      <c r="AQ83" s="666"/>
      <c r="AR83" s="666"/>
      <c r="AS83" s="666"/>
      <c r="AT83" s="666"/>
      <c r="AU83" s="666"/>
      <c r="AV83" s="666"/>
      <c r="AW83" s="666"/>
      <c r="AX83" s="666"/>
      <c r="AY83" s="666"/>
      <c r="AZ83" s="666"/>
    </row>
    <row r="84" spans="1:52" ht="12.75" customHeight="1" x14ac:dyDescent="0.2">
      <c r="A84" s="706">
        <f>'Kalkulation Herstellungskosten'!B159</f>
        <v>0</v>
      </c>
      <c r="B84" s="694"/>
      <c r="C84" s="87"/>
      <c r="D84" s="87"/>
      <c r="E84" s="704">
        <f t="shared" si="151"/>
        <v>0</v>
      </c>
      <c r="F84" s="88"/>
      <c r="G84" s="702">
        <f t="shared" si="152"/>
        <v>0</v>
      </c>
      <c r="H84" s="699"/>
      <c r="I84" s="674">
        <f>'Kalkulation Herstellungskosten'!G159/((1+1/6)*1.1041)</f>
        <v>0</v>
      </c>
      <c r="J84" s="675">
        <f t="shared" si="163"/>
        <v>0</v>
      </c>
      <c r="K84" s="675">
        <f t="shared" si="164"/>
        <v>0</v>
      </c>
      <c r="L84" s="667">
        <f t="shared" si="165"/>
        <v>0</v>
      </c>
      <c r="M84" s="675">
        <f>IF('Kalkulation Herstellungskosten'!C159=0,0,IF(I84/'Kalkulation Herstellungskosten'!C159&gt;SVGrund_lfd_wö,'Kalkulation Herstellungskosten'!C159*Höchst_Woche,I84*SV_lfd))</f>
        <v>0</v>
      </c>
      <c r="N84" s="675">
        <f t="shared" si="166"/>
        <v>0</v>
      </c>
      <c r="O84" s="675">
        <f>IF(I84*10.41%&gt;(0.5833*'Kalkulation Herstellungskosten'!C159*SVGrund_lfd_tä),(0.5833*'Kalkulation Herstellungskosten'!C159*Höchst_Tag),I84*10.41%*SV_lfd)</f>
        <v>0</v>
      </c>
      <c r="P84" s="675">
        <f t="shared" si="167"/>
        <v>0</v>
      </c>
      <c r="Q84" s="675">
        <f t="shared" si="168"/>
        <v>0</v>
      </c>
      <c r="R84" s="675">
        <f t="shared" si="169"/>
        <v>0</v>
      </c>
      <c r="S84" s="675">
        <f t="shared" si="170"/>
        <v>0</v>
      </c>
      <c r="T84" s="675">
        <f t="shared" si="171"/>
        <v>0</v>
      </c>
      <c r="U84" s="675">
        <f>'Kalkulation Herstellungskosten'!C159*U_Bahn</f>
        <v>0</v>
      </c>
      <c r="V84" s="667">
        <f t="shared" si="172"/>
        <v>0</v>
      </c>
      <c r="W84" s="667">
        <f t="shared" si="173"/>
        <v>0</v>
      </c>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6"/>
    </row>
    <row r="85" spans="1:52" ht="12.75" customHeight="1" x14ac:dyDescent="0.2">
      <c r="A85" s="706">
        <f>'Kalkulation Herstellungskosten'!B160</f>
        <v>0</v>
      </c>
      <c r="B85" s="694"/>
      <c r="C85" s="87"/>
      <c r="D85" s="87"/>
      <c r="E85" s="704">
        <f t="shared" si="151"/>
        <v>0</v>
      </c>
      <c r="F85" s="88"/>
      <c r="G85" s="702">
        <f t="shared" si="152"/>
        <v>0</v>
      </c>
      <c r="H85" s="699"/>
      <c r="I85" s="674">
        <f>'Kalkulation Herstellungskosten'!G160/((1+1/6)*1.1041)</f>
        <v>0</v>
      </c>
      <c r="J85" s="675">
        <f t="shared" si="163"/>
        <v>0</v>
      </c>
      <c r="K85" s="675">
        <f t="shared" si="164"/>
        <v>0</v>
      </c>
      <c r="L85" s="667">
        <f t="shared" si="165"/>
        <v>0</v>
      </c>
      <c r="M85" s="675">
        <f>IF('Kalkulation Herstellungskosten'!C160=0,0,IF(I85/'Kalkulation Herstellungskosten'!C160&gt;SVGrund_lfd_wö,'Kalkulation Herstellungskosten'!C160*Höchst_Woche,I85*SV_lfd))</f>
        <v>0</v>
      </c>
      <c r="N85" s="675">
        <f t="shared" si="166"/>
        <v>0</v>
      </c>
      <c r="O85" s="675">
        <f>IF(I85*10.41%&gt;(0.5833*'Kalkulation Herstellungskosten'!C160*SVGrund_lfd_tä),(0.5833*'Kalkulation Herstellungskosten'!C160*Höchst_Tag),I85*10.41%*SV_lfd)</f>
        <v>0</v>
      </c>
      <c r="P85" s="675">
        <f t="shared" si="167"/>
        <v>0</v>
      </c>
      <c r="Q85" s="675">
        <f t="shared" si="168"/>
        <v>0</v>
      </c>
      <c r="R85" s="675">
        <f t="shared" si="169"/>
        <v>0</v>
      </c>
      <c r="S85" s="675">
        <f t="shared" si="170"/>
        <v>0</v>
      </c>
      <c r="T85" s="675">
        <f t="shared" si="171"/>
        <v>0</v>
      </c>
      <c r="U85" s="675">
        <f>'Kalkulation Herstellungskosten'!C160*U_Bahn</f>
        <v>0</v>
      </c>
      <c r="V85" s="667">
        <f t="shared" si="172"/>
        <v>0</v>
      </c>
      <c r="W85" s="667">
        <f t="shared" si="173"/>
        <v>0</v>
      </c>
      <c r="X85" s="666"/>
      <c r="Y85" s="666"/>
      <c r="Z85" s="666"/>
      <c r="AA85" s="666"/>
      <c r="AB85" s="666"/>
      <c r="AC85" s="666"/>
      <c r="AD85" s="666"/>
      <c r="AE85" s="666"/>
      <c r="AF85" s="666"/>
      <c r="AG85" s="666"/>
      <c r="AH85" s="666"/>
      <c r="AI85" s="666"/>
      <c r="AJ85" s="666"/>
      <c r="AK85" s="666"/>
      <c r="AL85" s="666"/>
      <c r="AM85" s="666"/>
      <c r="AN85" s="666"/>
      <c r="AO85" s="666"/>
      <c r="AP85" s="666"/>
      <c r="AQ85" s="666"/>
      <c r="AR85" s="666"/>
      <c r="AS85" s="666"/>
      <c r="AT85" s="666"/>
      <c r="AU85" s="666"/>
      <c r="AV85" s="666"/>
      <c r="AW85" s="666"/>
      <c r="AX85" s="666"/>
      <c r="AY85" s="666"/>
      <c r="AZ85" s="666"/>
    </row>
    <row r="86" spans="1:52" ht="12.75" customHeight="1" x14ac:dyDescent="0.2">
      <c r="A86" s="706">
        <f>'Kalkulation Herstellungskosten'!B161</f>
        <v>0</v>
      </c>
      <c r="B86" s="694"/>
      <c r="C86" s="87"/>
      <c r="D86" s="87"/>
      <c r="E86" s="704">
        <f t="shared" si="151"/>
        <v>0</v>
      </c>
      <c r="F86" s="88"/>
      <c r="G86" s="702">
        <f t="shared" si="152"/>
        <v>0</v>
      </c>
      <c r="H86" s="699"/>
      <c r="I86" s="674">
        <f>'Kalkulation Herstellungskosten'!G161/((1+1/6)*1.1041)</f>
        <v>0</v>
      </c>
      <c r="J86" s="675">
        <f t="shared" si="163"/>
        <v>0</v>
      </c>
      <c r="K86" s="675">
        <f t="shared" si="164"/>
        <v>0</v>
      </c>
      <c r="L86" s="667">
        <f t="shared" si="165"/>
        <v>0</v>
      </c>
      <c r="M86" s="675">
        <f>IF('Kalkulation Herstellungskosten'!C161=0,0,IF(I86/'Kalkulation Herstellungskosten'!C161&gt;SVGrund_lfd_wö,'Kalkulation Herstellungskosten'!C161*Höchst_Woche,I86*SV_lfd))</f>
        <v>0</v>
      </c>
      <c r="N86" s="675">
        <f t="shared" si="166"/>
        <v>0</v>
      </c>
      <c r="O86" s="675">
        <f>IF(I86*10.41%&gt;(0.5833*'Kalkulation Herstellungskosten'!C161*SVGrund_lfd_tä),(0.5833*'Kalkulation Herstellungskosten'!C161*Höchst_Tag),I86*10.41%*SV_lfd)</f>
        <v>0</v>
      </c>
      <c r="P86" s="675">
        <f t="shared" si="167"/>
        <v>0</v>
      </c>
      <c r="Q86" s="675">
        <f t="shared" si="168"/>
        <v>0</v>
      </c>
      <c r="R86" s="675">
        <f t="shared" si="169"/>
        <v>0</v>
      </c>
      <c r="S86" s="675">
        <f t="shared" si="170"/>
        <v>0</v>
      </c>
      <c r="T86" s="675">
        <f t="shared" si="171"/>
        <v>0</v>
      </c>
      <c r="U86" s="675">
        <f>'Kalkulation Herstellungskosten'!C161*U_Bahn</f>
        <v>0</v>
      </c>
      <c r="V86" s="667">
        <f t="shared" si="172"/>
        <v>0</v>
      </c>
      <c r="W86" s="667">
        <f t="shared" si="173"/>
        <v>0</v>
      </c>
      <c r="X86" s="666"/>
      <c r="Y86" s="666"/>
      <c r="Z86" s="666"/>
      <c r="AA86" s="666"/>
      <c r="AB86" s="666"/>
      <c r="AC86" s="666"/>
      <c r="AD86" s="666"/>
      <c r="AE86" s="666"/>
      <c r="AF86" s="666"/>
      <c r="AG86" s="666"/>
      <c r="AH86" s="666"/>
      <c r="AI86" s="666"/>
      <c r="AJ86" s="666"/>
      <c r="AK86" s="666"/>
      <c r="AL86" s="666"/>
      <c r="AM86" s="666"/>
      <c r="AN86" s="666"/>
      <c r="AO86" s="666"/>
      <c r="AP86" s="666"/>
      <c r="AQ86" s="666"/>
      <c r="AR86" s="666"/>
      <c r="AS86" s="666"/>
      <c r="AT86" s="666"/>
      <c r="AU86" s="666"/>
      <c r="AV86" s="666"/>
      <c r="AW86" s="666"/>
      <c r="AX86" s="666"/>
      <c r="AY86" s="666"/>
      <c r="AZ86" s="666"/>
    </row>
    <row r="87" spans="1:52" ht="12.75" customHeight="1" x14ac:dyDescent="0.2">
      <c r="A87" s="706">
        <f>'Kalkulation Herstellungskosten'!B162</f>
        <v>0</v>
      </c>
      <c r="B87" s="694"/>
      <c r="C87" s="87"/>
      <c r="D87" s="87"/>
      <c r="E87" s="704">
        <f t="shared" si="151"/>
        <v>0</v>
      </c>
      <c r="F87" s="88"/>
      <c r="G87" s="702">
        <f t="shared" si="152"/>
        <v>0</v>
      </c>
      <c r="H87" s="699"/>
      <c r="I87" s="674">
        <f>'Kalkulation Herstellungskosten'!G162/((1+1/6)*1.1041)</f>
        <v>0</v>
      </c>
      <c r="J87" s="675">
        <f t="shared" si="163"/>
        <v>0</v>
      </c>
      <c r="K87" s="675">
        <f t="shared" si="164"/>
        <v>0</v>
      </c>
      <c r="L87" s="667">
        <f t="shared" si="165"/>
        <v>0</v>
      </c>
      <c r="M87" s="675">
        <f>IF('Kalkulation Herstellungskosten'!C162=0,0,IF(I87/'Kalkulation Herstellungskosten'!C162&gt;SVGrund_lfd_wö,'Kalkulation Herstellungskosten'!C162*Höchst_Woche,I87*SV_lfd))</f>
        <v>0</v>
      </c>
      <c r="N87" s="675">
        <f t="shared" si="166"/>
        <v>0</v>
      </c>
      <c r="O87" s="675">
        <f>IF(I87*10.41%&gt;(0.5833*'Kalkulation Herstellungskosten'!C162*SVGrund_lfd_tä),(0.5833*'Kalkulation Herstellungskosten'!C162*Höchst_Tag),I87*10.41%*SV_lfd)</f>
        <v>0</v>
      </c>
      <c r="P87" s="675">
        <f t="shared" si="167"/>
        <v>0</v>
      </c>
      <c r="Q87" s="675">
        <f t="shared" si="168"/>
        <v>0</v>
      </c>
      <c r="R87" s="675">
        <f t="shared" si="169"/>
        <v>0</v>
      </c>
      <c r="S87" s="675">
        <f t="shared" si="170"/>
        <v>0</v>
      </c>
      <c r="T87" s="675">
        <f t="shared" si="171"/>
        <v>0</v>
      </c>
      <c r="U87" s="675">
        <f>'Kalkulation Herstellungskosten'!C162*U_Bahn</f>
        <v>0</v>
      </c>
      <c r="V87" s="667">
        <f t="shared" si="172"/>
        <v>0</v>
      </c>
      <c r="W87" s="667">
        <f t="shared" si="173"/>
        <v>0</v>
      </c>
      <c r="X87" s="666"/>
      <c r="Y87" s="666"/>
      <c r="Z87" s="666"/>
      <c r="AA87" s="666"/>
      <c r="AB87" s="666"/>
      <c r="AC87" s="666"/>
      <c r="AD87" s="666"/>
      <c r="AE87" s="666"/>
      <c r="AF87" s="666"/>
      <c r="AG87" s="666"/>
      <c r="AH87" s="666"/>
      <c r="AI87" s="666"/>
      <c r="AJ87" s="666"/>
      <c r="AK87" s="666"/>
      <c r="AL87" s="666"/>
      <c r="AM87" s="666"/>
      <c r="AN87" s="666"/>
      <c r="AO87" s="666"/>
      <c r="AP87" s="666"/>
      <c r="AQ87" s="666"/>
      <c r="AR87" s="666"/>
      <c r="AS87" s="666"/>
      <c r="AT87" s="666"/>
      <c r="AU87" s="666"/>
      <c r="AV87" s="666"/>
      <c r="AW87" s="666"/>
      <c r="AX87" s="666"/>
      <c r="AY87" s="666"/>
      <c r="AZ87" s="666"/>
    </row>
    <row r="88" spans="1:52" ht="12.75" customHeight="1" x14ac:dyDescent="0.2">
      <c r="A88" s="706">
        <f>'Kalkulation Herstellungskosten'!B163</f>
        <v>0</v>
      </c>
      <c r="B88" s="694"/>
      <c r="C88" s="87"/>
      <c r="D88" s="87"/>
      <c r="E88" s="704">
        <f t="shared" si="151"/>
        <v>0</v>
      </c>
      <c r="F88" s="88"/>
      <c r="G88" s="702">
        <f t="shared" si="152"/>
        <v>0</v>
      </c>
      <c r="H88" s="699"/>
      <c r="I88" s="674">
        <f>'Kalkulation Herstellungskosten'!G163/((1+1/6)*1.1041)</f>
        <v>0</v>
      </c>
      <c r="J88" s="675">
        <f t="shared" ref="J88:J89" si="174">I88/6</f>
        <v>0</v>
      </c>
      <c r="K88" s="675">
        <f t="shared" ref="K88:K89" si="175">(I88+J88)*10.41%</f>
        <v>0</v>
      </c>
      <c r="L88" s="667">
        <f t="shared" ref="L88:L89" si="176">SUM(I88:K88)</f>
        <v>0</v>
      </c>
      <c r="M88" s="675">
        <f>IF('Kalkulation Herstellungskosten'!C163=0,0,IF(I88/'Kalkulation Herstellungskosten'!C163&gt;SVGrund_lfd_wö,'Kalkulation Herstellungskosten'!C163*Höchst_Woche,I88*SV_lfd))</f>
        <v>0</v>
      </c>
      <c r="N88" s="675">
        <f t="shared" ref="N88:N89" si="177">IF(J88&gt;SVGrund_SZ, Höchst_Mo_SZ,J88*SV_SZ)</f>
        <v>0</v>
      </c>
      <c r="O88" s="675">
        <f>IF(I88*10.41%&gt;(0.5833*'Kalkulation Herstellungskosten'!C163*SVGrund_lfd_tä),(0.5833*'Kalkulation Herstellungskosten'!C163*Höchst_Tag),I88*10.41%*SV_lfd)</f>
        <v>0</v>
      </c>
      <c r="P88" s="675">
        <f t="shared" ref="P88:P89" si="178">IF(J88&gt;SVGrund_SZ,0,IF(J88*10.41%&gt;(SVGrund_SZ-J88),(SVGrund_SZ-J88)*SV_SZ,J88*10.41%*SV_SZ))</f>
        <v>0</v>
      </c>
      <c r="Q88" s="675">
        <f t="shared" ref="Q88:Q89" si="179">L88*MV</f>
        <v>0</v>
      </c>
      <c r="R88" s="675">
        <f t="shared" ref="R88:R89" si="180">L88*DB</f>
        <v>0</v>
      </c>
      <c r="S88" s="675">
        <f t="shared" ref="S88:S89" si="181">L88*DZ</f>
        <v>0</v>
      </c>
      <c r="T88" s="675">
        <f t="shared" ref="T88:T89" si="182">L88*KommSt</f>
        <v>0</v>
      </c>
      <c r="U88" s="675">
        <f>'Kalkulation Herstellungskosten'!C163*U_Bahn</f>
        <v>0</v>
      </c>
      <c r="V88" s="667">
        <f t="shared" ref="V88:V89" si="183">SUM(M88:U88)</f>
        <v>0</v>
      </c>
      <c r="W88" s="667">
        <f t="shared" ref="W88:W89" si="184">SUM(L88,V88)</f>
        <v>0</v>
      </c>
      <c r="X88" s="666"/>
      <c r="Y88" s="666"/>
      <c r="Z88" s="666"/>
      <c r="AA88" s="666"/>
      <c r="AB88" s="666"/>
      <c r="AC88" s="666"/>
      <c r="AD88" s="666"/>
      <c r="AE88" s="666"/>
      <c r="AF88" s="666"/>
      <c r="AG88" s="666"/>
      <c r="AH88" s="666"/>
      <c r="AI88" s="666"/>
      <c r="AJ88" s="666"/>
      <c r="AK88" s="666"/>
      <c r="AL88" s="666"/>
      <c r="AM88" s="666"/>
      <c r="AN88" s="666"/>
      <c r="AO88" s="666"/>
      <c r="AP88" s="666"/>
      <c r="AQ88" s="666"/>
      <c r="AR88" s="666"/>
      <c r="AS88" s="666"/>
      <c r="AT88" s="666"/>
      <c r="AU88" s="666"/>
      <c r="AV88" s="666"/>
      <c r="AW88" s="666"/>
      <c r="AX88" s="666"/>
      <c r="AY88" s="666"/>
      <c r="AZ88" s="666"/>
    </row>
    <row r="89" spans="1:52" ht="12.75" customHeight="1" x14ac:dyDescent="0.2">
      <c r="A89" s="706">
        <f>'Kalkulation Herstellungskosten'!B164</f>
        <v>0</v>
      </c>
      <c r="B89" s="694"/>
      <c r="C89" s="87"/>
      <c r="D89" s="87"/>
      <c r="E89" s="704">
        <f t="shared" si="151"/>
        <v>0</v>
      </c>
      <c r="F89" s="88"/>
      <c r="G89" s="702">
        <f t="shared" si="152"/>
        <v>0</v>
      </c>
      <c r="H89" s="699"/>
      <c r="I89" s="674">
        <f>'Kalkulation Herstellungskosten'!G164/((1+1/6)*1.1041)</f>
        <v>0</v>
      </c>
      <c r="J89" s="675">
        <f t="shared" si="174"/>
        <v>0</v>
      </c>
      <c r="K89" s="675">
        <f t="shared" si="175"/>
        <v>0</v>
      </c>
      <c r="L89" s="667">
        <f t="shared" si="176"/>
        <v>0</v>
      </c>
      <c r="M89" s="675">
        <f>IF('Kalkulation Herstellungskosten'!C164=0,0,IF(I89/'Kalkulation Herstellungskosten'!C164&gt;SVGrund_lfd_wö,'Kalkulation Herstellungskosten'!C164*Höchst_Woche,I89*SV_lfd))</f>
        <v>0</v>
      </c>
      <c r="N89" s="675">
        <f t="shared" si="177"/>
        <v>0</v>
      </c>
      <c r="O89" s="675">
        <f>IF(I89*10.41%&gt;(0.5833*'Kalkulation Herstellungskosten'!C164*SVGrund_lfd_tä),(0.5833*'Kalkulation Herstellungskosten'!C164*Höchst_Tag),I89*10.41%*SV_lfd)</f>
        <v>0</v>
      </c>
      <c r="P89" s="675">
        <f t="shared" si="178"/>
        <v>0</v>
      </c>
      <c r="Q89" s="675">
        <f t="shared" si="179"/>
        <v>0</v>
      </c>
      <c r="R89" s="675">
        <f t="shared" si="180"/>
        <v>0</v>
      </c>
      <c r="S89" s="675">
        <f t="shared" si="181"/>
        <v>0</v>
      </c>
      <c r="T89" s="675">
        <f t="shared" si="182"/>
        <v>0</v>
      </c>
      <c r="U89" s="675">
        <f>'Kalkulation Herstellungskosten'!C164*U_Bahn</f>
        <v>0</v>
      </c>
      <c r="V89" s="667">
        <f t="shared" si="183"/>
        <v>0</v>
      </c>
      <c r="W89" s="667">
        <f t="shared" si="184"/>
        <v>0</v>
      </c>
      <c r="X89" s="666"/>
      <c r="Y89" s="666"/>
      <c r="Z89" s="666"/>
      <c r="AA89" s="666"/>
      <c r="AB89" s="666"/>
      <c r="AC89" s="666"/>
      <c r="AD89" s="666"/>
      <c r="AE89" s="666"/>
      <c r="AF89" s="666"/>
      <c r="AG89" s="666"/>
      <c r="AH89" s="666"/>
      <c r="AI89" s="666"/>
      <c r="AJ89" s="666"/>
      <c r="AK89" s="666"/>
      <c r="AL89" s="666"/>
      <c r="AM89" s="666"/>
      <c r="AN89" s="666"/>
      <c r="AO89" s="666"/>
      <c r="AP89" s="666"/>
      <c r="AQ89" s="666"/>
      <c r="AR89" s="666"/>
      <c r="AS89" s="666"/>
      <c r="AT89" s="666"/>
      <c r="AU89" s="666"/>
      <c r="AV89" s="666"/>
      <c r="AW89" s="666"/>
      <c r="AX89" s="666"/>
      <c r="AY89" s="666"/>
      <c r="AZ89" s="666"/>
    </row>
    <row r="90" spans="1:52" ht="12.75" customHeight="1" x14ac:dyDescent="0.2">
      <c r="A90" s="706">
        <f>'Kalkulation Herstellungskosten'!B165</f>
        <v>0</v>
      </c>
      <c r="B90" s="694"/>
      <c r="C90" s="87"/>
      <c r="D90" s="87"/>
      <c r="E90" s="704">
        <f t="shared" si="151"/>
        <v>0</v>
      </c>
      <c r="F90" s="88"/>
      <c r="G90" s="702">
        <f t="shared" si="152"/>
        <v>0</v>
      </c>
      <c r="H90" s="699"/>
      <c r="I90" s="674">
        <f>'Kalkulation Herstellungskosten'!G165/((1+1/6)*1.1041)</f>
        <v>0</v>
      </c>
      <c r="J90" s="675">
        <f t="shared" ref="J90:J92" si="185">I90/6</f>
        <v>0</v>
      </c>
      <c r="K90" s="675">
        <f t="shared" ref="K90:K92" si="186">(I90+J90)*10.41%</f>
        <v>0</v>
      </c>
      <c r="L90" s="667">
        <f t="shared" ref="L90:L92" si="187">SUM(I90:K90)</f>
        <v>0</v>
      </c>
      <c r="M90" s="675">
        <f>IF('Kalkulation Herstellungskosten'!C165=0,0,IF(I90/'Kalkulation Herstellungskosten'!C165&gt;SVGrund_lfd_wö,'Kalkulation Herstellungskosten'!C165*Höchst_Woche,I90*SV_lfd))</f>
        <v>0</v>
      </c>
      <c r="N90" s="675">
        <f t="shared" ref="N90:N92" si="188">IF(J90&gt;SVGrund_SZ, Höchst_Mo_SZ,J90*SV_SZ)</f>
        <v>0</v>
      </c>
      <c r="O90" s="675">
        <f>IF(I90*10.41%&gt;(0.5833*'Kalkulation Herstellungskosten'!C165*SVGrund_lfd_tä),(0.5833*'Kalkulation Herstellungskosten'!C165*Höchst_Tag),I90*10.41%*SV_lfd)</f>
        <v>0</v>
      </c>
      <c r="P90" s="675">
        <f t="shared" ref="P90:P92" si="189">IF(J90&gt;SVGrund_SZ,0,IF(J90*10.41%&gt;(SVGrund_SZ-J90),(SVGrund_SZ-J90)*SV_SZ,J90*10.41%*SV_SZ))</f>
        <v>0</v>
      </c>
      <c r="Q90" s="675">
        <f t="shared" ref="Q90:Q92" si="190">L90*MV</f>
        <v>0</v>
      </c>
      <c r="R90" s="675">
        <f t="shared" ref="R90:R92" si="191">L90*DB</f>
        <v>0</v>
      </c>
      <c r="S90" s="675">
        <f t="shared" ref="S90:S92" si="192">L90*DZ</f>
        <v>0</v>
      </c>
      <c r="T90" s="675">
        <f t="shared" ref="T90:T92" si="193">L90*KommSt</f>
        <v>0</v>
      </c>
      <c r="U90" s="675">
        <f>'Kalkulation Herstellungskosten'!C165*U_Bahn</f>
        <v>0</v>
      </c>
      <c r="V90" s="667">
        <f t="shared" ref="V90:V92" si="194">SUM(M90:U90)</f>
        <v>0</v>
      </c>
      <c r="W90" s="667">
        <f t="shared" ref="W90:W92" si="195">SUM(L90,V90)</f>
        <v>0</v>
      </c>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row>
    <row r="91" spans="1:52" ht="12.75" customHeight="1" x14ac:dyDescent="0.2">
      <c r="A91" s="706">
        <f>'Kalkulation Herstellungskosten'!B166</f>
        <v>0</v>
      </c>
      <c r="B91" s="694"/>
      <c r="C91" s="87"/>
      <c r="D91" s="87"/>
      <c r="E91" s="704">
        <f t="shared" si="151"/>
        <v>0</v>
      </c>
      <c r="F91" s="88"/>
      <c r="G91" s="702">
        <f t="shared" si="152"/>
        <v>0</v>
      </c>
      <c r="H91" s="699"/>
      <c r="I91" s="674">
        <f>'Kalkulation Herstellungskosten'!G166/((1+1/6)*1.1041)</f>
        <v>0</v>
      </c>
      <c r="J91" s="675">
        <f t="shared" si="185"/>
        <v>0</v>
      </c>
      <c r="K91" s="675">
        <f t="shared" si="186"/>
        <v>0</v>
      </c>
      <c r="L91" s="667">
        <f t="shared" si="187"/>
        <v>0</v>
      </c>
      <c r="M91" s="675">
        <f>IF('Kalkulation Herstellungskosten'!C166=0,0,IF(I91/'Kalkulation Herstellungskosten'!C166&gt;SVGrund_lfd_wö,'Kalkulation Herstellungskosten'!C166*Höchst_Woche,I91*SV_lfd))</f>
        <v>0</v>
      </c>
      <c r="N91" s="675">
        <f t="shared" si="188"/>
        <v>0</v>
      </c>
      <c r="O91" s="675">
        <f>IF(I91*10.41%&gt;(0.5833*'Kalkulation Herstellungskosten'!C166*SVGrund_lfd_tä),(0.5833*'Kalkulation Herstellungskosten'!C166*Höchst_Tag),I91*10.41%*SV_lfd)</f>
        <v>0</v>
      </c>
      <c r="P91" s="675">
        <f t="shared" si="189"/>
        <v>0</v>
      </c>
      <c r="Q91" s="675">
        <f t="shared" si="190"/>
        <v>0</v>
      </c>
      <c r="R91" s="675">
        <f t="shared" si="191"/>
        <v>0</v>
      </c>
      <c r="S91" s="675">
        <f t="shared" si="192"/>
        <v>0</v>
      </c>
      <c r="T91" s="675">
        <f t="shared" si="193"/>
        <v>0</v>
      </c>
      <c r="U91" s="675">
        <f>'Kalkulation Herstellungskosten'!C166*U_Bahn</f>
        <v>0</v>
      </c>
      <c r="V91" s="667">
        <f t="shared" si="194"/>
        <v>0</v>
      </c>
      <c r="W91" s="667">
        <f t="shared" si="195"/>
        <v>0</v>
      </c>
      <c r="X91" s="666"/>
      <c r="Y91" s="666"/>
      <c r="Z91" s="666"/>
      <c r="AA91" s="666"/>
      <c r="AB91" s="666"/>
      <c r="AC91" s="666"/>
      <c r="AD91" s="666"/>
      <c r="AE91" s="666"/>
      <c r="AF91" s="666"/>
      <c r="AG91" s="666"/>
      <c r="AH91" s="666"/>
      <c r="AI91" s="666"/>
      <c r="AJ91" s="666"/>
      <c r="AK91" s="666"/>
      <c r="AL91" s="666"/>
      <c r="AM91" s="666"/>
      <c r="AN91" s="666"/>
      <c r="AO91" s="666"/>
      <c r="AP91" s="666"/>
      <c r="AQ91" s="666"/>
      <c r="AR91" s="666"/>
      <c r="AS91" s="666"/>
      <c r="AT91" s="666"/>
      <c r="AU91" s="666"/>
      <c r="AV91" s="666"/>
      <c r="AW91" s="666"/>
      <c r="AX91" s="666"/>
      <c r="AY91" s="666"/>
      <c r="AZ91" s="666"/>
    </row>
    <row r="92" spans="1:52" ht="12.75" customHeight="1" x14ac:dyDescent="0.2">
      <c r="A92" s="706">
        <f>'Kalkulation Herstellungskosten'!B167</f>
        <v>0</v>
      </c>
      <c r="B92" s="694"/>
      <c r="C92" s="87"/>
      <c r="D92" s="87"/>
      <c r="E92" s="704">
        <f t="shared" si="151"/>
        <v>0</v>
      </c>
      <c r="F92" s="88"/>
      <c r="G92" s="702">
        <f t="shared" si="152"/>
        <v>0</v>
      </c>
      <c r="H92" s="699"/>
      <c r="I92" s="674">
        <f>'Kalkulation Herstellungskosten'!G167/((1+1/6)*1.1041)</f>
        <v>0</v>
      </c>
      <c r="J92" s="675">
        <f t="shared" si="185"/>
        <v>0</v>
      </c>
      <c r="K92" s="675">
        <f t="shared" si="186"/>
        <v>0</v>
      </c>
      <c r="L92" s="667">
        <f t="shared" si="187"/>
        <v>0</v>
      </c>
      <c r="M92" s="675">
        <f>IF('Kalkulation Herstellungskosten'!C167=0,0,IF(I92/'Kalkulation Herstellungskosten'!C167&gt;SVGrund_lfd_wö,'Kalkulation Herstellungskosten'!C167*Höchst_Woche,I92*SV_lfd))</f>
        <v>0</v>
      </c>
      <c r="N92" s="675">
        <f t="shared" si="188"/>
        <v>0</v>
      </c>
      <c r="O92" s="675">
        <f>IF(I92*10.41%&gt;(0.5833*'Kalkulation Herstellungskosten'!C167*SVGrund_lfd_tä),(0.5833*'Kalkulation Herstellungskosten'!C167*Höchst_Tag),I92*10.41%*SV_lfd)</f>
        <v>0</v>
      </c>
      <c r="P92" s="675">
        <f t="shared" si="189"/>
        <v>0</v>
      </c>
      <c r="Q92" s="675">
        <f t="shared" si="190"/>
        <v>0</v>
      </c>
      <c r="R92" s="675">
        <f t="shared" si="191"/>
        <v>0</v>
      </c>
      <c r="S92" s="675">
        <f t="shared" si="192"/>
        <v>0</v>
      </c>
      <c r="T92" s="675">
        <f t="shared" si="193"/>
        <v>0</v>
      </c>
      <c r="U92" s="675">
        <f>'Kalkulation Herstellungskosten'!C167*U_Bahn</f>
        <v>0</v>
      </c>
      <c r="V92" s="667">
        <f t="shared" si="194"/>
        <v>0</v>
      </c>
      <c r="W92" s="667">
        <f t="shared" si="195"/>
        <v>0</v>
      </c>
      <c r="X92" s="666"/>
      <c r="Y92" s="666"/>
      <c r="Z92" s="666"/>
      <c r="AA92" s="666"/>
      <c r="AB92" s="666"/>
      <c r="AC92" s="666"/>
      <c r="AD92" s="666"/>
      <c r="AE92" s="666"/>
      <c r="AF92" s="666"/>
      <c r="AG92" s="666"/>
      <c r="AH92" s="666"/>
      <c r="AI92" s="666"/>
      <c r="AJ92" s="666"/>
      <c r="AK92" s="666"/>
      <c r="AL92" s="666"/>
      <c r="AM92" s="666"/>
      <c r="AN92" s="666"/>
      <c r="AO92" s="666"/>
      <c r="AP92" s="666"/>
      <c r="AQ92" s="666"/>
      <c r="AR92" s="666"/>
      <c r="AS92" s="666"/>
      <c r="AT92" s="666"/>
      <c r="AU92" s="666"/>
      <c r="AV92" s="666"/>
      <c r="AW92" s="666"/>
      <c r="AX92" s="666"/>
      <c r="AY92" s="666"/>
      <c r="AZ92" s="666"/>
    </row>
    <row r="93" spans="1:52" ht="12.75" customHeight="1" x14ac:dyDescent="0.2">
      <c r="A93" s="706">
        <f>'Kalkulation Herstellungskosten'!B168</f>
        <v>0</v>
      </c>
      <c r="B93" s="694"/>
      <c r="C93" s="87"/>
      <c r="D93" s="87"/>
      <c r="E93" s="704">
        <f t="shared" si="151"/>
        <v>0</v>
      </c>
      <c r="F93" s="88"/>
      <c r="G93" s="702">
        <f t="shared" si="152"/>
        <v>0</v>
      </c>
      <c r="H93" s="699"/>
      <c r="I93" s="674">
        <f>'Kalkulation Herstellungskosten'!G168/((1+1/6)*1.1041)</f>
        <v>0</v>
      </c>
      <c r="J93" s="675">
        <f t="shared" ref="J93:J122" si="196">I93/6</f>
        <v>0</v>
      </c>
      <c r="K93" s="675">
        <f t="shared" ref="K93:K122" si="197">(I93+J93)*10.41%</f>
        <v>0</v>
      </c>
      <c r="L93" s="667">
        <f t="shared" ref="L93:L122" si="198">SUM(I93:K93)</f>
        <v>0</v>
      </c>
      <c r="M93" s="675">
        <f>IF('Kalkulation Herstellungskosten'!C168=0,0,IF(I93/'Kalkulation Herstellungskosten'!C168&gt;SVGrund_lfd_wö,'Kalkulation Herstellungskosten'!C168*Höchst_Woche,I93*SV_lfd))</f>
        <v>0</v>
      </c>
      <c r="N93" s="675">
        <f t="shared" ref="N93:N122" si="199">IF(J93&gt;SVGrund_SZ, Höchst_Mo_SZ,J93*SV_SZ)</f>
        <v>0</v>
      </c>
      <c r="O93" s="675">
        <f>IF(I93*10.41%&gt;(0.5833*'Kalkulation Herstellungskosten'!C168*SVGrund_lfd_tä),(0.5833*'Kalkulation Herstellungskosten'!C168*Höchst_Tag),I93*10.41%*SV_lfd)</f>
        <v>0</v>
      </c>
      <c r="P93" s="675">
        <f t="shared" ref="P93:P122" si="200">IF(J93&gt;SVGrund_SZ,0,IF(J93*10.41%&gt;(SVGrund_SZ-J93),(SVGrund_SZ-J93)*SV_SZ,J93*10.41%*SV_SZ))</f>
        <v>0</v>
      </c>
      <c r="Q93" s="675">
        <f t="shared" ref="Q93:Q122" si="201">L93*MV</f>
        <v>0</v>
      </c>
      <c r="R93" s="675">
        <f t="shared" ref="R93:R122" si="202">L93*DB</f>
        <v>0</v>
      </c>
      <c r="S93" s="675">
        <f t="shared" ref="S93:S122" si="203">L93*DZ</f>
        <v>0</v>
      </c>
      <c r="T93" s="675">
        <f t="shared" ref="T93:T122" si="204">L93*KommSt</f>
        <v>0</v>
      </c>
      <c r="U93" s="675">
        <f>'Kalkulation Herstellungskosten'!C168*U_Bahn</f>
        <v>0</v>
      </c>
      <c r="V93" s="667">
        <f t="shared" ref="V93:V122" si="205">SUM(M93:U93)</f>
        <v>0</v>
      </c>
      <c r="W93" s="667">
        <f t="shared" ref="W93:W122" si="206">SUM(L93,V93)</f>
        <v>0</v>
      </c>
      <c r="X93" s="666"/>
      <c r="Y93" s="666"/>
      <c r="Z93" s="666"/>
      <c r="AA93" s="666"/>
      <c r="AB93" s="666"/>
      <c r="AC93" s="666"/>
      <c r="AD93" s="666"/>
      <c r="AE93" s="666"/>
      <c r="AF93" s="666"/>
      <c r="AG93" s="666"/>
      <c r="AH93" s="666"/>
      <c r="AI93" s="666"/>
      <c r="AJ93" s="666"/>
      <c r="AK93" s="666"/>
      <c r="AL93" s="666"/>
      <c r="AM93" s="666"/>
      <c r="AN93" s="666"/>
      <c r="AO93" s="666"/>
      <c r="AP93" s="666"/>
      <c r="AQ93" s="666"/>
      <c r="AR93" s="666"/>
      <c r="AS93" s="666"/>
      <c r="AT93" s="666"/>
      <c r="AU93" s="666"/>
      <c r="AV93" s="666"/>
      <c r="AW93" s="666"/>
      <c r="AX93" s="666"/>
      <c r="AY93" s="666"/>
      <c r="AZ93" s="666"/>
    </row>
    <row r="94" spans="1:52" ht="12.75" customHeight="1" x14ac:dyDescent="0.2">
      <c r="A94" s="706">
        <f>'Kalkulation Herstellungskosten'!B169</f>
        <v>0</v>
      </c>
      <c r="B94" s="694"/>
      <c r="C94" s="87"/>
      <c r="D94" s="87"/>
      <c r="E94" s="704">
        <f t="shared" si="151"/>
        <v>0</v>
      </c>
      <c r="F94" s="88"/>
      <c r="G94" s="702">
        <f t="shared" si="152"/>
        <v>0</v>
      </c>
      <c r="H94" s="699"/>
      <c r="I94" s="674">
        <f>'Kalkulation Herstellungskosten'!G169/((1+1/6)*1.1041)</f>
        <v>0</v>
      </c>
      <c r="J94" s="675">
        <f t="shared" si="196"/>
        <v>0</v>
      </c>
      <c r="K94" s="675">
        <f t="shared" si="197"/>
        <v>0</v>
      </c>
      <c r="L94" s="667">
        <f t="shared" si="198"/>
        <v>0</v>
      </c>
      <c r="M94" s="675">
        <f>IF('Kalkulation Herstellungskosten'!C169=0,0,IF(I94/'Kalkulation Herstellungskosten'!C169&gt;SVGrund_lfd_wö,'Kalkulation Herstellungskosten'!C169*Höchst_Woche,I94*SV_lfd))</f>
        <v>0</v>
      </c>
      <c r="N94" s="675">
        <f t="shared" si="199"/>
        <v>0</v>
      </c>
      <c r="O94" s="675">
        <f>IF(I94*10.41%&gt;(0.5833*'Kalkulation Herstellungskosten'!C169*SVGrund_lfd_tä),(0.5833*'Kalkulation Herstellungskosten'!C169*Höchst_Tag),I94*10.41%*SV_lfd)</f>
        <v>0</v>
      </c>
      <c r="P94" s="675">
        <f t="shared" si="200"/>
        <v>0</v>
      </c>
      <c r="Q94" s="675">
        <f t="shared" si="201"/>
        <v>0</v>
      </c>
      <c r="R94" s="675">
        <f t="shared" si="202"/>
        <v>0</v>
      </c>
      <c r="S94" s="675">
        <f t="shared" si="203"/>
        <v>0</v>
      </c>
      <c r="T94" s="675">
        <f t="shared" si="204"/>
        <v>0</v>
      </c>
      <c r="U94" s="675">
        <f>'Kalkulation Herstellungskosten'!C169*U_Bahn</f>
        <v>0</v>
      </c>
      <c r="V94" s="667">
        <f t="shared" si="205"/>
        <v>0</v>
      </c>
      <c r="W94" s="667">
        <f t="shared" si="206"/>
        <v>0</v>
      </c>
      <c r="X94" s="666"/>
      <c r="Y94" s="666"/>
      <c r="Z94" s="666"/>
      <c r="AA94" s="666"/>
      <c r="AB94" s="666"/>
      <c r="AC94" s="666"/>
      <c r="AD94" s="666"/>
      <c r="AE94" s="666"/>
      <c r="AF94" s="666"/>
      <c r="AG94" s="666"/>
      <c r="AH94" s="666"/>
      <c r="AI94" s="666"/>
      <c r="AJ94" s="666"/>
      <c r="AK94" s="666"/>
      <c r="AL94" s="666"/>
      <c r="AM94" s="666"/>
      <c r="AN94" s="666"/>
      <c r="AO94" s="666"/>
      <c r="AP94" s="666"/>
      <c r="AQ94" s="666"/>
      <c r="AR94" s="666"/>
      <c r="AS94" s="666"/>
      <c r="AT94" s="666"/>
      <c r="AU94" s="666"/>
      <c r="AV94" s="666"/>
      <c r="AW94" s="666"/>
      <c r="AX94" s="666"/>
      <c r="AY94" s="666"/>
      <c r="AZ94" s="666"/>
    </row>
    <row r="95" spans="1:52" ht="12.75" customHeight="1" x14ac:dyDescent="0.2">
      <c r="A95" s="706">
        <f>'Kalkulation Herstellungskosten'!B170</f>
        <v>0</v>
      </c>
      <c r="B95" s="694"/>
      <c r="C95" s="87"/>
      <c r="D95" s="87"/>
      <c r="E95" s="704">
        <f t="shared" si="151"/>
        <v>0</v>
      </c>
      <c r="F95" s="88"/>
      <c r="G95" s="702">
        <f t="shared" si="152"/>
        <v>0</v>
      </c>
      <c r="H95" s="699"/>
      <c r="I95" s="674">
        <f>'Kalkulation Herstellungskosten'!G170/((1+1/6)*1.1041)</f>
        <v>0</v>
      </c>
      <c r="J95" s="675">
        <f t="shared" si="196"/>
        <v>0</v>
      </c>
      <c r="K95" s="675">
        <f t="shared" si="197"/>
        <v>0</v>
      </c>
      <c r="L95" s="667">
        <f t="shared" si="198"/>
        <v>0</v>
      </c>
      <c r="M95" s="675">
        <f>IF('Kalkulation Herstellungskosten'!C170=0,0,IF(I95/'Kalkulation Herstellungskosten'!C170&gt;SVGrund_lfd_wö,'Kalkulation Herstellungskosten'!C170*Höchst_Woche,I95*SV_lfd))</f>
        <v>0</v>
      </c>
      <c r="N95" s="675">
        <f t="shared" si="199"/>
        <v>0</v>
      </c>
      <c r="O95" s="675">
        <f>IF(I95*10.41%&gt;(0.5833*'Kalkulation Herstellungskosten'!C170*SVGrund_lfd_tä),(0.5833*'Kalkulation Herstellungskosten'!C170*Höchst_Tag),I95*10.41%*SV_lfd)</f>
        <v>0</v>
      </c>
      <c r="P95" s="675">
        <f t="shared" si="200"/>
        <v>0</v>
      </c>
      <c r="Q95" s="675">
        <f t="shared" si="201"/>
        <v>0</v>
      </c>
      <c r="R95" s="675">
        <f t="shared" si="202"/>
        <v>0</v>
      </c>
      <c r="S95" s="675">
        <f t="shared" si="203"/>
        <v>0</v>
      </c>
      <c r="T95" s="675">
        <f t="shared" si="204"/>
        <v>0</v>
      </c>
      <c r="U95" s="675">
        <f>'Kalkulation Herstellungskosten'!C170*U_Bahn</f>
        <v>0</v>
      </c>
      <c r="V95" s="667">
        <f t="shared" si="205"/>
        <v>0</v>
      </c>
      <c r="W95" s="667">
        <f t="shared" si="206"/>
        <v>0</v>
      </c>
      <c r="X95" s="666"/>
      <c r="Y95" s="666"/>
      <c r="Z95" s="666"/>
      <c r="AA95" s="666"/>
      <c r="AB95" s="666"/>
      <c r="AC95" s="666"/>
      <c r="AD95" s="666"/>
      <c r="AE95" s="666"/>
      <c r="AF95" s="666"/>
      <c r="AG95" s="666"/>
      <c r="AH95" s="666"/>
      <c r="AI95" s="666"/>
      <c r="AJ95" s="666"/>
      <c r="AK95" s="666"/>
      <c r="AL95" s="666"/>
      <c r="AM95" s="666"/>
      <c r="AN95" s="666"/>
      <c r="AO95" s="666"/>
      <c r="AP95" s="666"/>
      <c r="AQ95" s="666"/>
      <c r="AR95" s="666"/>
      <c r="AS95" s="666"/>
      <c r="AT95" s="666"/>
      <c r="AU95" s="666"/>
      <c r="AV95" s="666"/>
      <c r="AW95" s="666"/>
      <c r="AX95" s="666"/>
      <c r="AY95" s="666"/>
      <c r="AZ95" s="666"/>
    </row>
    <row r="96" spans="1:52" ht="12.75" customHeight="1" x14ac:dyDescent="0.2">
      <c r="A96" s="706">
        <f>'Kalkulation Herstellungskosten'!B171</f>
        <v>0</v>
      </c>
      <c r="B96" s="694"/>
      <c r="C96" s="87"/>
      <c r="D96" s="87"/>
      <c r="E96" s="704">
        <f t="shared" si="151"/>
        <v>0</v>
      </c>
      <c r="F96" s="88"/>
      <c r="G96" s="702">
        <f t="shared" si="152"/>
        <v>0</v>
      </c>
      <c r="H96" s="699"/>
      <c r="I96" s="674">
        <f>'Kalkulation Herstellungskosten'!G171/((1+1/6)*1.1041)</f>
        <v>0</v>
      </c>
      <c r="J96" s="675">
        <f t="shared" si="196"/>
        <v>0</v>
      </c>
      <c r="K96" s="675">
        <f t="shared" si="197"/>
        <v>0</v>
      </c>
      <c r="L96" s="667">
        <f t="shared" si="198"/>
        <v>0</v>
      </c>
      <c r="M96" s="675">
        <f>IF('Kalkulation Herstellungskosten'!C171=0,0,IF(I96/'Kalkulation Herstellungskosten'!C171&gt;SVGrund_lfd_wö,'Kalkulation Herstellungskosten'!C171*Höchst_Woche,I96*SV_lfd))</f>
        <v>0</v>
      </c>
      <c r="N96" s="675">
        <f t="shared" si="199"/>
        <v>0</v>
      </c>
      <c r="O96" s="675">
        <f>IF(I96*10.41%&gt;(0.5833*'Kalkulation Herstellungskosten'!C171*SVGrund_lfd_tä),(0.5833*'Kalkulation Herstellungskosten'!C171*Höchst_Tag),I96*10.41%*SV_lfd)</f>
        <v>0</v>
      </c>
      <c r="P96" s="675">
        <f t="shared" si="200"/>
        <v>0</v>
      </c>
      <c r="Q96" s="675">
        <f t="shared" si="201"/>
        <v>0</v>
      </c>
      <c r="R96" s="675">
        <f t="shared" si="202"/>
        <v>0</v>
      </c>
      <c r="S96" s="675">
        <f t="shared" si="203"/>
        <v>0</v>
      </c>
      <c r="T96" s="675">
        <f t="shared" si="204"/>
        <v>0</v>
      </c>
      <c r="U96" s="675">
        <f>'Kalkulation Herstellungskosten'!C171*U_Bahn</f>
        <v>0</v>
      </c>
      <c r="V96" s="667">
        <f t="shared" si="205"/>
        <v>0</v>
      </c>
      <c r="W96" s="667">
        <f t="shared" si="206"/>
        <v>0</v>
      </c>
      <c r="X96" s="666"/>
      <c r="Y96" s="666"/>
      <c r="Z96" s="666"/>
      <c r="AA96" s="666"/>
      <c r="AB96" s="666"/>
      <c r="AC96" s="666"/>
      <c r="AD96" s="666"/>
      <c r="AE96" s="666"/>
      <c r="AF96" s="666"/>
      <c r="AG96" s="666"/>
      <c r="AH96" s="666"/>
      <c r="AI96" s="666"/>
      <c r="AJ96" s="666"/>
      <c r="AK96" s="666"/>
      <c r="AL96" s="666"/>
      <c r="AM96" s="666"/>
      <c r="AN96" s="666"/>
      <c r="AO96" s="666"/>
      <c r="AP96" s="666"/>
      <c r="AQ96" s="666"/>
      <c r="AR96" s="666"/>
      <c r="AS96" s="666"/>
      <c r="AT96" s="666"/>
      <c r="AU96" s="666"/>
      <c r="AV96" s="666"/>
      <c r="AW96" s="666"/>
      <c r="AX96" s="666"/>
      <c r="AY96" s="666"/>
      <c r="AZ96" s="666"/>
    </row>
    <row r="97" spans="1:52" ht="12.75" customHeight="1" x14ac:dyDescent="0.2">
      <c r="A97" s="706">
        <f>'Kalkulation Herstellungskosten'!B172</f>
        <v>0</v>
      </c>
      <c r="B97" s="694"/>
      <c r="C97" s="87"/>
      <c r="D97" s="87"/>
      <c r="E97" s="704">
        <f t="shared" si="151"/>
        <v>0</v>
      </c>
      <c r="F97" s="88"/>
      <c r="G97" s="702">
        <f t="shared" si="152"/>
        <v>0</v>
      </c>
      <c r="H97" s="699"/>
      <c r="I97" s="674">
        <f>'Kalkulation Herstellungskosten'!G172/((1+1/6)*1.1041)</f>
        <v>0</v>
      </c>
      <c r="J97" s="675">
        <f t="shared" si="196"/>
        <v>0</v>
      </c>
      <c r="K97" s="675">
        <f t="shared" si="197"/>
        <v>0</v>
      </c>
      <c r="L97" s="667">
        <f t="shared" si="198"/>
        <v>0</v>
      </c>
      <c r="M97" s="675">
        <f>IF('Kalkulation Herstellungskosten'!C172=0,0,IF(I97/'Kalkulation Herstellungskosten'!C172&gt;SVGrund_lfd_wö,'Kalkulation Herstellungskosten'!C172*Höchst_Woche,I97*SV_lfd))</f>
        <v>0</v>
      </c>
      <c r="N97" s="675">
        <f t="shared" si="199"/>
        <v>0</v>
      </c>
      <c r="O97" s="675">
        <f>IF(I97*10.41%&gt;(0.5833*'Kalkulation Herstellungskosten'!C172*SVGrund_lfd_tä),(0.5833*'Kalkulation Herstellungskosten'!C172*Höchst_Tag),I97*10.41%*SV_lfd)</f>
        <v>0</v>
      </c>
      <c r="P97" s="675">
        <f t="shared" si="200"/>
        <v>0</v>
      </c>
      <c r="Q97" s="675">
        <f t="shared" si="201"/>
        <v>0</v>
      </c>
      <c r="R97" s="675">
        <f t="shared" si="202"/>
        <v>0</v>
      </c>
      <c r="S97" s="675">
        <f t="shared" si="203"/>
        <v>0</v>
      </c>
      <c r="T97" s="675">
        <f t="shared" si="204"/>
        <v>0</v>
      </c>
      <c r="U97" s="675">
        <f>'Kalkulation Herstellungskosten'!C172*U_Bahn</f>
        <v>0</v>
      </c>
      <c r="V97" s="667">
        <f t="shared" si="205"/>
        <v>0</v>
      </c>
      <c r="W97" s="667">
        <f t="shared" si="206"/>
        <v>0</v>
      </c>
      <c r="X97" s="666"/>
      <c r="Y97" s="666"/>
      <c r="Z97" s="666"/>
      <c r="AA97" s="666"/>
      <c r="AB97" s="666"/>
      <c r="AC97" s="666"/>
      <c r="AD97" s="666"/>
      <c r="AE97" s="666"/>
      <c r="AF97" s="666"/>
      <c r="AG97" s="666"/>
      <c r="AH97" s="666"/>
      <c r="AI97" s="666"/>
      <c r="AJ97" s="666"/>
      <c r="AK97" s="666"/>
      <c r="AL97" s="666"/>
      <c r="AM97" s="666"/>
      <c r="AN97" s="666"/>
      <c r="AO97" s="666"/>
      <c r="AP97" s="666"/>
      <c r="AQ97" s="666"/>
      <c r="AR97" s="666"/>
      <c r="AS97" s="666"/>
      <c r="AT97" s="666"/>
      <c r="AU97" s="666"/>
      <c r="AV97" s="666"/>
      <c r="AW97" s="666"/>
      <c r="AX97" s="666"/>
      <c r="AY97" s="666"/>
      <c r="AZ97" s="666"/>
    </row>
    <row r="98" spans="1:52" ht="12.75" customHeight="1" x14ac:dyDescent="0.2">
      <c r="A98" s="706">
        <f>'Kalkulation Herstellungskosten'!B173</f>
        <v>0</v>
      </c>
      <c r="B98" s="694"/>
      <c r="C98" s="87"/>
      <c r="D98" s="87"/>
      <c r="E98" s="704">
        <f t="shared" si="151"/>
        <v>0</v>
      </c>
      <c r="F98" s="88"/>
      <c r="G98" s="702">
        <f t="shared" si="152"/>
        <v>0</v>
      </c>
      <c r="H98" s="699"/>
      <c r="I98" s="674">
        <f>'Kalkulation Herstellungskosten'!G173/((1+1/6)*1.1041)</f>
        <v>0</v>
      </c>
      <c r="J98" s="675">
        <f t="shared" si="196"/>
        <v>0</v>
      </c>
      <c r="K98" s="675">
        <f t="shared" si="197"/>
        <v>0</v>
      </c>
      <c r="L98" s="667">
        <f t="shared" si="198"/>
        <v>0</v>
      </c>
      <c r="M98" s="675">
        <f>IF('Kalkulation Herstellungskosten'!C173=0,0,IF(I98/'Kalkulation Herstellungskosten'!C173&gt;SVGrund_lfd_wö,'Kalkulation Herstellungskosten'!C173*Höchst_Woche,I98*SV_lfd))</f>
        <v>0</v>
      </c>
      <c r="N98" s="675">
        <f t="shared" si="199"/>
        <v>0</v>
      </c>
      <c r="O98" s="675">
        <f>IF(I98*10.41%&gt;(0.5833*'Kalkulation Herstellungskosten'!C173*SVGrund_lfd_tä),(0.5833*'Kalkulation Herstellungskosten'!C173*Höchst_Tag),I98*10.41%*SV_lfd)</f>
        <v>0</v>
      </c>
      <c r="P98" s="675">
        <f t="shared" si="200"/>
        <v>0</v>
      </c>
      <c r="Q98" s="675">
        <f t="shared" si="201"/>
        <v>0</v>
      </c>
      <c r="R98" s="675">
        <f t="shared" si="202"/>
        <v>0</v>
      </c>
      <c r="S98" s="675">
        <f t="shared" si="203"/>
        <v>0</v>
      </c>
      <c r="T98" s="675">
        <f t="shared" si="204"/>
        <v>0</v>
      </c>
      <c r="U98" s="675">
        <f>'Kalkulation Herstellungskosten'!C173*U_Bahn</f>
        <v>0</v>
      </c>
      <c r="V98" s="667">
        <f t="shared" si="205"/>
        <v>0</v>
      </c>
      <c r="W98" s="667">
        <f t="shared" si="206"/>
        <v>0</v>
      </c>
      <c r="X98" s="666"/>
      <c r="Y98" s="666"/>
      <c r="Z98" s="666"/>
      <c r="AA98" s="666"/>
      <c r="AB98" s="666"/>
      <c r="AC98" s="666"/>
      <c r="AD98" s="666"/>
      <c r="AE98" s="666"/>
      <c r="AF98" s="666"/>
      <c r="AG98" s="666"/>
      <c r="AH98" s="666"/>
      <c r="AI98" s="666"/>
      <c r="AJ98" s="666"/>
      <c r="AK98" s="666"/>
      <c r="AL98" s="666"/>
      <c r="AM98" s="666"/>
      <c r="AN98" s="666"/>
      <c r="AO98" s="666"/>
      <c r="AP98" s="666"/>
      <c r="AQ98" s="666"/>
      <c r="AR98" s="666"/>
      <c r="AS98" s="666"/>
      <c r="AT98" s="666"/>
      <c r="AU98" s="666"/>
      <c r="AV98" s="666"/>
      <c r="AW98" s="666"/>
      <c r="AX98" s="666"/>
      <c r="AY98" s="666"/>
      <c r="AZ98" s="666"/>
    </row>
    <row r="99" spans="1:52" ht="12.75" customHeight="1" x14ac:dyDescent="0.2">
      <c r="A99" s="706">
        <f>'Kalkulation Herstellungskosten'!B174</f>
        <v>0</v>
      </c>
      <c r="B99" s="694"/>
      <c r="C99" s="87"/>
      <c r="D99" s="87"/>
      <c r="E99" s="704">
        <f t="shared" si="151"/>
        <v>0</v>
      </c>
      <c r="F99" s="88"/>
      <c r="G99" s="702">
        <f t="shared" si="152"/>
        <v>0</v>
      </c>
      <c r="H99" s="699"/>
      <c r="I99" s="674">
        <f>'Kalkulation Herstellungskosten'!G174/((1+1/6)*1.1041)</f>
        <v>0</v>
      </c>
      <c r="J99" s="675">
        <f t="shared" si="196"/>
        <v>0</v>
      </c>
      <c r="K99" s="675">
        <f t="shared" si="197"/>
        <v>0</v>
      </c>
      <c r="L99" s="667">
        <f t="shared" si="198"/>
        <v>0</v>
      </c>
      <c r="M99" s="675">
        <f>IF('Kalkulation Herstellungskosten'!C174=0,0,IF(I99/'Kalkulation Herstellungskosten'!C174&gt;SVGrund_lfd_wö,'Kalkulation Herstellungskosten'!C174*Höchst_Woche,I99*SV_lfd))</f>
        <v>0</v>
      </c>
      <c r="N99" s="675">
        <f t="shared" si="199"/>
        <v>0</v>
      </c>
      <c r="O99" s="675">
        <f>IF(I99*10.41%&gt;(0.5833*'Kalkulation Herstellungskosten'!C174*SVGrund_lfd_tä),(0.5833*'Kalkulation Herstellungskosten'!C174*Höchst_Tag),I99*10.41%*SV_lfd)</f>
        <v>0</v>
      </c>
      <c r="P99" s="675">
        <f t="shared" si="200"/>
        <v>0</v>
      </c>
      <c r="Q99" s="675">
        <f t="shared" si="201"/>
        <v>0</v>
      </c>
      <c r="R99" s="675">
        <f t="shared" si="202"/>
        <v>0</v>
      </c>
      <c r="S99" s="675">
        <f t="shared" si="203"/>
        <v>0</v>
      </c>
      <c r="T99" s="675">
        <f t="shared" si="204"/>
        <v>0</v>
      </c>
      <c r="U99" s="675">
        <f>'Kalkulation Herstellungskosten'!C174*U_Bahn</f>
        <v>0</v>
      </c>
      <c r="V99" s="667">
        <f t="shared" si="205"/>
        <v>0</v>
      </c>
      <c r="W99" s="667">
        <f t="shared" si="206"/>
        <v>0</v>
      </c>
      <c r="X99" s="666"/>
      <c r="Y99" s="666"/>
      <c r="Z99" s="666"/>
      <c r="AA99" s="666"/>
      <c r="AB99" s="666"/>
      <c r="AC99" s="666"/>
      <c r="AD99" s="666"/>
      <c r="AE99" s="666"/>
      <c r="AF99" s="666"/>
      <c r="AG99" s="666"/>
      <c r="AH99" s="666"/>
      <c r="AI99" s="666"/>
      <c r="AJ99" s="666"/>
      <c r="AK99" s="666"/>
      <c r="AL99" s="666"/>
      <c r="AM99" s="666"/>
      <c r="AN99" s="666"/>
      <c r="AO99" s="666"/>
      <c r="AP99" s="666"/>
      <c r="AQ99" s="666"/>
      <c r="AR99" s="666"/>
      <c r="AS99" s="666"/>
      <c r="AT99" s="666"/>
      <c r="AU99" s="666"/>
      <c r="AV99" s="666"/>
      <c r="AW99" s="666"/>
      <c r="AX99" s="666"/>
      <c r="AY99" s="666"/>
      <c r="AZ99" s="666"/>
    </row>
    <row r="100" spans="1:52" ht="12.75" customHeight="1" x14ac:dyDescent="0.2">
      <c r="A100" s="706">
        <f>'Kalkulation Herstellungskosten'!B175</f>
        <v>0</v>
      </c>
      <c r="B100" s="694"/>
      <c r="C100" s="87"/>
      <c r="D100" s="87"/>
      <c r="E100" s="704">
        <f t="shared" si="151"/>
        <v>0</v>
      </c>
      <c r="F100" s="88"/>
      <c r="G100" s="702">
        <f t="shared" si="152"/>
        <v>0</v>
      </c>
      <c r="H100" s="699"/>
      <c r="I100" s="674">
        <f>'Kalkulation Herstellungskosten'!G175/((1+1/6)*1.1041)</f>
        <v>0</v>
      </c>
      <c r="J100" s="675">
        <f t="shared" si="196"/>
        <v>0</v>
      </c>
      <c r="K100" s="675">
        <f t="shared" si="197"/>
        <v>0</v>
      </c>
      <c r="L100" s="667">
        <f t="shared" si="198"/>
        <v>0</v>
      </c>
      <c r="M100" s="675">
        <f>IF('Kalkulation Herstellungskosten'!C175=0,0,IF(I100/'Kalkulation Herstellungskosten'!C175&gt;SVGrund_lfd_wö,'Kalkulation Herstellungskosten'!C175*Höchst_Woche,I100*SV_lfd))</f>
        <v>0</v>
      </c>
      <c r="N100" s="675">
        <f t="shared" si="199"/>
        <v>0</v>
      </c>
      <c r="O100" s="675">
        <f>IF(I100*10.41%&gt;(0.5833*'Kalkulation Herstellungskosten'!C175*SVGrund_lfd_tä),(0.5833*'Kalkulation Herstellungskosten'!C175*Höchst_Tag),I100*10.41%*SV_lfd)</f>
        <v>0</v>
      </c>
      <c r="P100" s="675">
        <f t="shared" si="200"/>
        <v>0</v>
      </c>
      <c r="Q100" s="675">
        <f t="shared" si="201"/>
        <v>0</v>
      </c>
      <c r="R100" s="675">
        <f t="shared" si="202"/>
        <v>0</v>
      </c>
      <c r="S100" s="675">
        <f t="shared" si="203"/>
        <v>0</v>
      </c>
      <c r="T100" s="675">
        <f t="shared" si="204"/>
        <v>0</v>
      </c>
      <c r="U100" s="675">
        <f>'Kalkulation Herstellungskosten'!C175*U_Bahn</f>
        <v>0</v>
      </c>
      <c r="V100" s="667">
        <f t="shared" si="205"/>
        <v>0</v>
      </c>
      <c r="W100" s="667">
        <f t="shared" si="206"/>
        <v>0</v>
      </c>
      <c r="X100" s="666"/>
      <c r="Y100" s="666"/>
      <c r="Z100" s="666"/>
      <c r="AA100" s="666"/>
      <c r="AB100" s="666"/>
      <c r="AC100" s="666"/>
      <c r="AD100" s="666"/>
      <c r="AE100" s="666"/>
      <c r="AF100" s="666"/>
      <c r="AG100" s="666"/>
      <c r="AH100" s="666"/>
      <c r="AI100" s="666"/>
      <c r="AJ100" s="666"/>
      <c r="AK100" s="666"/>
      <c r="AL100" s="666"/>
      <c r="AM100" s="666"/>
      <c r="AN100" s="666"/>
      <c r="AO100" s="666"/>
      <c r="AP100" s="666"/>
      <c r="AQ100" s="666"/>
      <c r="AR100" s="666"/>
      <c r="AS100" s="666"/>
      <c r="AT100" s="666"/>
      <c r="AU100" s="666"/>
      <c r="AV100" s="666"/>
      <c r="AW100" s="666"/>
      <c r="AX100" s="666"/>
      <c r="AY100" s="666"/>
      <c r="AZ100" s="666"/>
    </row>
    <row r="101" spans="1:52" ht="12.75" customHeight="1" x14ac:dyDescent="0.2">
      <c r="A101" s="706">
        <f>'Kalkulation Herstellungskosten'!B176</f>
        <v>0</v>
      </c>
      <c r="B101" s="694"/>
      <c r="C101" s="87"/>
      <c r="D101" s="87"/>
      <c r="E101" s="704">
        <f t="shared" si="151"/>
        <v>0</v>
      </c>
      <c r="F101" s="88"/>
      <c r="G101" s="702">
        <f t="shared" si="152"/>
        <v>0</v>
      </c>
      <c r="H101" s="699"/>
      <c r="I101" s="674">
        <f>'Kalkulation Herstellungskosten'!G176/((1+1/6)*1.1041)</f>
        <v>0</v>
      </c>
      <c r="J101" s="675">
        <f t="shared" si="196"/>
        <v>0</v>
      </c>
      <c r="K101" s="675">
        <f t="shared" si="197"/>
        <v>0</v>
      </c>
      <c r="L101" s="667">
        <f t="shared" si="198"/>
        <v>0</v>
      </c>
      <c r="M101" s="675">
        <f>IF('Kalkulation Herstellungskosten'!C176=0,0,IF(I101/'Kalkulation Herstellungskosten'!C176&gt;SVGrund_lfd_wö,'Kalkulation Herstellungskosten'!C176*Höchst_Woche,I101*SV_lfd))</f>
        <v>0</v>
      </c>
      <c r="N101" s="675">
        <f t="shared" si="199"/>
        <v>0</v>
      </c>
      <c r="O101" s="675">
        <f>IF(I101*10.41%&gt;(0.5833*'Kalkulation Herstellungskosten'!C176*SVGrund_lfd_tä),(0.5833*'Kalkulation Herstellungskosten'!C176*Höchst_Tag),I101*10.41%*SV_lfd)</f>
        <v>0</v>
      </c>
      <c r="P101" s="675">
        <f t="shared" si="200"/>
        <v>0</v>
      </c>
      <c r="Q101" s="675">
        <f t="shared" si="201"/>
        <v>0</v>
      </c>
      <c r="R101" s="675">
        <f t="shared" si="202"/>
        <v>0</v>
      </c>
      <c r="S101" s="675">
        <f t="shared" si="203"/>
        <v>0</v>
      </c>
      <c r="T101" s="675">
        <f t="shared" si="204"/>
        <v>0</v>
      </c>
      <c r="U101" s="675">
        <f>'Kalkulation Herstellungskosten'!C176*U_Bahn</f>
        <v>0</v>
      </c>
      <c r="V101" s="667">
        <f t="shared" si="205"/>
        <v>0</v>
      </c>
      <c r="W101" s="667">
        <f t="shared" si="206"/>
        <v>0</v>
      </c>
      <c r="X101" s="666"/>
      <c r="Y101" s="666"/>
      <c r="Z101" s="666"/>
      <c r="AA101" s="666"/>
      <c r="AB101" s="666"/>
      <c r="AC101" s="666"/>
      <c r="AD101" s="666"/>
      <c r="AE101" s="666"/>
      <c r="AF101" s="666"/>
      <c r="AG101" s="666"/>
      <c r="AH101" s="666"/>
      <c r="AI101" s="666"/>
      <c r="AJ101" s="666"/>
      <c r="AK101" s="666"/>
      <c r="AL101" s="666"/>
      <c r="AM101" s="666"/>
      <c r="AN101" s="666"/>
      <c r="AO101" s="666"/>
      <c r="AP101" s="666"/>
      <c r="AQ101" s="666"/>
      <c r="AR101" s="666"/>
      <c r="AS101" s="666"/>
      <c r="AT101" s="666"/>
      <c r="AU101" s="666"/>
      <c r="AV101" s="666"/>
      <c r="AW101" s="666"/>
      <c r="AX101" s="666"/>
      <c r="AY101" s="666"/>
      <c r="AZ101" s="666"/>
    </row>
    <row r="102" spans="1:52" ht="12.75" customHeight="1" x14ac:dyDescent="0.2">
      <c r="A102" s="706">
        <f>'Kalkulation Herstellungskosten'!B177</f>
        <v>0</v>
      </c>
      <c r="B102" s="694"/>
      <c r="C102" s="87"/>
      <c r="D102" s="87"/>
      <c r="E102" s="704">
        <f t="shared" si="151"/>
        <v>0</v>
      </c>
      <c r="F102" s="88"/>
      <c r="G102" s="702">
        <f t="shared" si="152"/>
        <v>0</v>
      </c>
      <c r="H102" s="699"/>
      <c r="I102" s="674">
        <f>'Kalkulation Herstellungskosten'!G177/((1+1/6)*1.1041)</f>
        <v>0</v>
      </c>
      <c r="J102" s="675">
        <f t="shared" si="196"/>
        <v>0</v>
      </c>
      <c r="K102" s="675">
        <f t="shared" si="197"/>
        <v>0</v>
      </c>
      <c r="L102" s="667">
        <f t="shared" si="198"/>
        <v>0</v>
      </c>
      <c r="M102" s="675">
        <f>IF('Kalkulation Herstellungskosten'!C177=0,0,IF(I102/'Kalkulation Herstellungskosten'!C177&gt;SVGrund_lfd_wö,'Kalkulation Herstellungskosten'!C177*Höchst_Woche,I102*SV_lfd))</f>
        <v>0</v>
      </c>
      <c r="N102" s="675">
        <f t="shared" si="199"/>
        <v>0</v>
      </c>
      <c r="O102" s="675">
        <f>IF(I102*10.41%&gt;(0.5833*'Kalkulation Herstellungskosten'!C177*SVGrund_lfd_tä),(0.5833*'Kalkulation Herstellungskosten'!C177*Höchst_Tag),I102*10.41%*SV_lfd)</f>
        <v>0</v>
      </c>
      <c r="P102" s="675">
        <f t="shared" si="200"/>
        <v>0</v>
      </c>
      <c r="Q102" s="675">
        <f t="shared" si="201"/>
        <v>0</v>
      </c>
      <c r="R102" s="675">
        <f t="shared" si="202"/>
        <v>0</v>
      </c>
      <c r="S102" s="675">
        <f t="shared" si="203"/>
        <v>0</v>
      </c>
      <c r="T102" s="675">
        <f t="shared" si="204"/>
        <v>0</v>
      </c>
      <c r="U102" s="675">
        <f>'Kalkulation Herstellungskosten'!C177*U_Bahn</f>
        <v>0</v>
      </c>
      <c r="V102" s="667">
        <f t="shared" si="205"/>
        <v>0</v>
      </c>
      <c r="W102" s="667">
        <f t="shared" si="206"/>
        <v>0</v>
      </c>
      <c r="X102" s="666"/>
      <c r="Y102" s="666"/>
      <c r="Z102" s="666"/>
      <c r="AA102" s="666"/>
      <c r="AB102" s="666"/>
      <c r="AC102" s="666"/>
      <c r="AD102" s="666"/>
      <c r="AE102" s="666"/>
      <c r="AF102" s="666"/>
      <c r="AG102" s="666"/>
      <c r="AH102" s="666"/>
      <c r="AI102" s="666"/>
      <c r="AJ102" s="666"/>
      <c r="AK102" s="666"/>
      <c r="AL102" s="666"/>
      <c r="AM102" s="666"/>
      <c r="AN102" s="666"/>
      <c r="AO102" s="666"/>
      <c r="AP102" s="666"/>
      <c r="AQ102" s="666"/>
      <c r="AR102" s="666"/>
      <c r="AS102" s="666"/>
      <c r="AT102" s="666"/>
      <c r="AU102" s="666"/>
      <c r="AV102" s="666"/>
      <c r="AW102" s="666"/>
      <c r="AX102" s="666"/>
      <c r="AY102" s="666"/>
      <c r="AZ102" s="666"/>
    </row>
    <row r="103" spans="1:52" ht="12.75" customHeight="1" x14ac:dyDescent="0.2">
      <c r="A103" s="706">
        <f>'Kalkulation Herstellungskosten'!B178</f>
        <v>0</v>
      </c>
      <c r="B103" s="694"/>
      <c r="C103" s="87"/>
      <c r="D103" s="87"/>
      <c r="E103" s="704">
        <f t="shared" si="151"/>
        <v>0</v>
      </c>
      <c r="F103" s="88"/>
      <c r="G103" s="702">
        <f t="shared" si="152"/>
        <v>0</v>
      </c>
      <c r="H103" s="699"/>
      <c r="I103" s="674">
        <f>'Kalkulation Herstellungskosten'!G178/((1+1/6)*1.1041)</f>
        <v>0</v>
      </c>
      <c r="J103" s="675">
        <f t="shared" si="196"/>
        <v>0</v>
      </c>
      <c r="K103" s="675">
        <f t="shared" si="197"/>
        <v>0</v>
      </c>
      <c r="L103" s="667">
        <f t="shared" si="198"/>
        <v>0</v>
      </c>
      <c r="M103" s="675">
        <f>IF('Kalkulation Herstellungskosten'!C178=0,0,IF(I103/'Kalkulation Herstellungskosten'!C178&gt;SVGrund_lfd_wö,'Kalkulation Herstellungskosten'!C178*Höchst_Woche,I103*SV_lfd))</f>
        <v>0</v>
      </c>
      <c r="N103" s="675">
        <f t="shared" si="199"/>
        <v>0</v>
      </c>
      <c r="O103" s="675">
        <f>IF(I103*10.41%&gt;(0.5833*'Kalkulation Herstellungskosten'!C178*SVGrund_lfd_tä),(0.5833*'Kalkulation Herstellungskosten'!C178*Höchst_Tag),I103*10.41%*SV_lfd)</f>
        <v>0</v>
      </c>
      <c r="P103" s="675">
        <f t="shared" si="200"/>
        <v>0</v>
      </c>
      <c r="Q103" s="675">
        <f t="shared" si="201"/>
        <v>0</v>
      </c>
      <c r="R103" s="675">
        <f t="shared" si="202"/>
        <v>0</v>
      </c>
      <c r="S103" s="675">
        <f t="shared" si="203"/>
        <v>0</v>
      </c>
      <c r="T103" s="675">
        <f t="shared" si="204"/>
        <v>0</v>
      </c>
      <c r="U103" s="675">
        <f>'Kalkulation Herstellungskosten'!C178*U_Bahn</f>
        <v>0</v>
      </c>
      <c r="V103" s="667">
        <f t="shared" si="205"/>
        <v>0</v>
      </c>
      <c r="W103" s="667">
        <f t="shared" si="206"/>
        <v>0</v>
      </c>
      <c r="X103" s="666"/>
      <c r="Y103" s="666"/>
      <c r="Z103" s="666"/>
      <c r="AA103" s="666"/>
      <c r="AB103" s="666"/>
      <c r="AC103" s="666"/>
      <c r="AD103" s="666"/>
      <c r="AE103" s="666"/>
      <c r="AF103" s="666"/>
      <c r="AG103" s="666"/>
      <c r="AH103" s="666"/>
      <c r="AI103" s="666"/>
      <c r="AJ103" s="666"/>
      <c r="AK103" s="666"/>
      <c r="AL103" s="666"/>
      <c r="AM103" s="666"/>
      <c r="AN103" s="666"/>
      <c r="AO103" s="666"/>
      <c r="AP103" s="666"/>
      <c r="AQ103" s="666"/>
      <c r="AR103" s="666"/>
      <c r="AS103" s="666"/>
      <c r="AT103" s="666"/>
      <c r="AU103" s="666"/>
      <c r="AV103" s="666"/>
      <c r="AW103" s="666"/>
      <c r="AX103" s="666"/>
      <c r="AY103" s="666"/>
      <c r="AZ103" s="666"/>
    </row>
    <row r="104" spans="1:52" ht="12.75" customHeight="1" x14ac:dyDescent="0.2">
      <c r="A104" s="706">
        <f>'Kalkulation Herstellungskosten'!B179</f>
        <v>0</v>
      </c>
      <c r="B104" s="694"/>
      <c r="C104" s="87"/>
      <c r="D104" s="87"/>
      <c r="E104" s="704">
        <f t="shared" si="151"/>
        <v>0</v>
      </c>
      <c r="F104" s="88"/>
      <c r="G104" s="702">
        <f t="shared" si="152"/>
        <v>0</v>
      </c>
      <c r="H104" s="699"/>
      <c r="I104" s="674">
        <f>'Kalkulation Herstellungskosten'!G179/((1+1/6)*1.1041)</f>
        <v>0</v>
      </c>
      <c r="J104" s="675">
        <f t="shared" si="196"/>
        <v>0</v>
      </c>
      <c r="K104" s="675">
        <f t="shared" si="197"/>
        <v>0</v>
      </c>
      <c r="L104" s="667">
        <f t="shared" si="198"/>
        <v>0</v>
      </c>
      <c r="M104" s="675">
        <f>IF('Kalkulation Herstellungskosten'!C179=0,0,IF(I104/'Kalkulation Herstellungskosten'!C179&gt;SVGrund_lfd_wö,'Kalkulation Herstellungskosten'!C179*Höchst_Woche,I104*SV_lfd))</f>
        <v>0</v>
      </c>
      <c r="N104" s="675">
        <f t="shared" si="199"/>
        <v>0</v>
      </c>
      <c r="O104" s="675">
        <f>IF(I104*10.41%&gt;(0.5833*'Kalkulation Herstellungskosten'!C179*SVGrund_lfd_tä),(0.5833*'Kalkulation Herstellungskosten'!C179*Höchst_Tag),I104*10.41%*SV_lfd)</f>
        <v>0</v>
      </c>
      <c r="P104" s="675">
        <f t="shared" si="200"/>
        <v>0</v>
      </c>
      <c r="Q104" s="675">
        <f t="shared" si="201"/>
        <v>0</v>
      </c>
      <c r="R104" s="675">
        <f t="shared" si="202"/>
        <v>0</v>
      </c>
      <c r="S104" s="675">
        <f t="shared" si="203"/>
        <v>0</v>
      </c>
      <c r="T104" s="675">
        <f t="shared" si="204"/>
        <v>0</v>
      </c>
      <c r="U104" s="675">
        <f>'Kalkulation Herstellungskosten'!C179*U_Bahn</f>
        <v>0</v>
      </c>
      <c r="V104" s="667">
        <f t="shared" si="205"/>
        <v>0</v>
      </c>
      <c r="W104" s="667">
        <f t="shared" si="206"/>
        <v>0</v>
      </c>
      <c r="X104" s="666"/>
      <c r="Y104" s="666"/>
      <c r="Z104" s="666"/>
      <c r="AA104" s="666"/>
      <c r="AB104" s="666"/>
      <c r="AC104" s="666"/>
      <c r="AD104" s="666"/>
      <c r="AE104" s="666"/>
      <c r="AF104" s="666"/>
      <c r="AG104" s="666"/>
      <c r="AH104" s="666"/>
      <c r="AI104" s="666"/>
      <c r="AJ104" s="666"/>
      <c r="AK104" s="666"/>
      <c r="AL104" s="666"/>
      <c r="AM104" s="666"/>
      <c r="AN104" s="666"/>
      <c r="AO104" s="666"/>
      <c r="AP104" s="666"/>
      <c r="AQ104" s="666"/>
      <c r="AR104" s="666"/>
      <c r="AS104" s="666"/>
      <c r="AT104" s="666"/>
      <c r="AU104" s="666"/>
      <c r="AV104" s="666"/>
      <c r="AW104" s="666"/>
      <c r="AX104" s="666"/>
      <c r="AY104" s="666"/>
      <c r="AZ104" s="666"/>
    </row>
    <row r="105" spans="1:52" ht="12.75" customHeight="1" x14ac:dyDescent="0.2">
      <c r="A105" s="706">
        <f>'Kalkulation Herstellungskosten'!B180</f>
        <v>0</v>
      </c>
      <c r="B105" s="694"/>
      <c r="C105" s="87"/>
      <c r="D105" s="87"/>
      <c r="E105" s="704">
        <f t="shared" si="151"/>
        <v>0</v>
      </c>
      <c r="F105" s="88"/>
      <c r="G105" s="702">
        <f t="shared" si="152"/>
        <v>0</v>
      </c>
      <c r="H105" s="699"/>
      <c r="I105" s="674">
        <f>'Kalkulation Herstellungskosten'!G180/((1+1/6)*1.1041)</f>
        <v>0</v>
      </c>
      <c r="J105" s="675">
        <f t="shared" si="196"/>
        <v>0</v>
      </c>
      <c r="K105" s="675">
        <f t="shared" si="197"/>
        <v>0</v>
      </c>
      <c r="L105" s="667">
        <f t="shared" si="198"/>
        <v>0</v>
      </c>
      <c r="M105" s="675">
        <f>IF('Kalkulation Herstellungskosten'!C180=0,0,IF(I105/'Kalkulation Herstellungskosten'!C180&gt;SVGrund_lfd_wö,'Kalkulation Herstellungskosten'!C180*Höchst_Woche,I105*SV_lfd))</f>
        <v>0</v>
      </c>
      <c r="N105" s="675">
        <f t="shared" si="199"/>
        <v>0</v>
      </c>
      <c r="O105" s="675">
        <f>IF(I105*10.41%&gt;(0.5833*'Kalkulation Herstellungskosten'!C180*SVGrund_lfd_tä),(0.5833*'Kalkulation Herstellungskosten'!C180*Höchst_Tag),I105*10.41%*SV_lfd)</f>
        <v>0</v>
      </c>
      <c r="P105" s="675">
        <f t="shared" si="200"/>
        <v>0</v>
      </c>
      <c r="Q105" s="675">
        <f t="shared" si="201"/>
        <v>0</v>
      </c>
      <c r="R105" s="675">
        <f t="shared" si="202"/>
        <v>0</v>
      </c>
      <c r="S105" s="675">
        <f t="shared" si="203"/>
        <v>0</v>
      </c>
      <c r="T105" s="675">
        <f t="shared" si="204"/>
        <v>0</v>
      </c>
      <c r="U105" s="675">
        <f>'Kalkulation Herstellungskosten'!C180*U_Bahn</f>
        <v>0</v>
      </c>
      <c r="V105" s="667">
        <f t="shared" si="205"/>
        <v>0</v>
      </c>
      <c r="W105" s="667">
        <f t="shared" si="206"/>
        <v>0</v>
      </c>
      <c r="X105" s="666"/>
      <c r="Y105" s="666"/>
      <c r="Z105" s="666"/>
      <c r="AA105" s="666"/>
      <c r="AB105" s="666"/>
      <c r="AC105" s="666"/>
      <c r="AD105" s="666"/>
      <c r="AE105" s="666"/>
      <c r="AF105" s="666"/>
      <c r="AG105" s="666"/>
      <c r="AH105" s="666"/>
      <c r="AI105" s="666"/>
      <c r="AJ105" s="666"/>
      <c r="AK105" s="666"/>
      <c r="AL105" s="666"/>
      <c r="AM105" s="666"/>
      <c r="AN105" s="666"/>
      <c r="AO105" s="666"/>
      <c r="AP105" s="666"/>
      <c r="AQ105" s="666"/>
      <c r="AR105" s="666"/>
      <c r="AS105" s="666"/>
      <c r="AT105" s="666"/>
      <c r="AU105" s="666"/>
      <c r="AV105" s="666"/>
      <c r="AW105" s="666"/>
      <c r="AX105" s="666"/>
      <c r="AY105" s="666"/>
      <c r="AZ105" s="666"/>
    </row>
    <row r="106" spans="1:52" ht="12.75" customHeight="1" x14ac:dyDescent="0.2">
      <c r="A106" s="706">
        <f>'Kalkulation Herstellungskosten'!B181</f>
        <v>0</v>
      </c>
      <c r="B106" s="694"/>
      <c r="C106" s="87"/>
      <c r="D106" s="87"/>
      <c r="E106" s="704">
        <f t="shared" si="151"/>
        <v>0</v>
      </c>
      <c r="F106" s="88"/>
      <c r="G106" s="702">
        <f t="shared" si="152"/>
        <v>0</v>
      </c>
      <c r="H106" s="699"/>
      <c r="I106" s="674">
        <f>'Kalkulation Herstellungskosten'!G181/((1+1/6)*1.1041)</f>
        <v>0</v>
      </c>
      <c r="J106" s="675">
        <f t="shared" si="196"/>
        <v>0</v>
      </c>
      <c r="K106" s="675">
        <f t="shared" si="197"/>
        <v>0</v>
      </c>
      <c r="L106" s="667">
        <f t="shared" si="198"/>
        <v>0</v>
      </c>
      <c r="M106" s="675">
        <f>IF('Kalkulation Herstellungskosten'!C181=0,0,IF(I106/'Kalkulation Herstellungskosten'!C181&gt;SVGrund_lfd_wö,'Kalkulation Herstellungskosten'!C181*Höchst_Woche,I106*SV_lfd))</f>
        <v>0</v>
      </c>
      <c r="N106" s="675">
        <f t="shared" si="199"/>
        <v>0</v>
      </c>
      <c r="O106" s="675">
        <f>IF(I106*10.41%&gt;(0.5833*'Kalkulation Herstellungskosten'!C181*SVGrund_lfd_tä),(0.5833*'Kalkulation Herstellungskosten'!C181*Höchst_Tag),I106*10.41%*SV_lfd)</f>
        <v>0</v>
      </c>
      <c r="P106" s="675">
        <f t="shared" si="200"/>
        <v>0</v>
      </c>
      <c r="Q106" s="675">
        <f t="shared" si="201"/>
        <v>0</v>
      </c>
      <c r="R106" s="675">
        <f t="shared" si="202"/>
        <v>0</v>
      </c>
      <c r="S106" s="675">
        <f t="shared" si="203"/>
        <v>0</v>
      </c>
      <c r="T106" s="675">
        <f t="shared" si="204"/>
        <v>0</v>
      </c>
      <c r="U106" s="675">
        <f>'Kalkulation Herstellungskosten'!C181*U_Bahn</f>
        <v>0</v>
      </c>
      <c r="V106" s="667">
        <f t="shared" si="205"/>
        <v>0</v>
      </c>
      <c r="W106" s="667">
        <f t="shared" si="206"/>
        <v>0</v>
      </c>
      <c r="X106" s="666"/>
      <c r="Y106" s="666"/>
      <c r="Z106" s="666"/>
      <c r="AA106" s="666"/>
      <c r="AB106" s="666"/>
      <c r="AC106" s="666"/>
      <c r="AD106" s="666"/>
      <c r="AE106" s="666"/>
      <c r="AF106" s="666"/>
      <c r="AG106" s="666"/>
      <c r="AH106" s="666"/>
      <c r="AI106" s="666"/>
      <c r="AJ106" s="666"/>
      <c r="AK106" s="666"/>
      <c r="AL106" s="666"/>
      <c r="AM106" s="666"/>
      <c r="AN106" s="666"/>
      <c r="AO106" s="666"/>
      <c r="AP106" s="666"/>
      <c r="AQ106" s="666"/>
      <c r="AR106" s="666"/>
      <c r="AS106" s="666"/>
      <c r="AT106" s="666"/>
      <c r="AU106" s="666"/>
      <c r="AV106" s="666"/>
      <c r="AW106" s="666"/>
      <c r="AX106" s="666"/>
      <c r="AY106" s="666"/>
      <c r="AZ106" s="666"/>
    </row>
    <row r="107" spans="1:52" ht="12.75" customHeight="1" x14ac:dyDescent="0.2">
      <c r="A107" s="706">
        <f>'Kalkulation Herstellungskosten'!B182</f>
        <v>0</v>
      </c>
      <c r="B107" s="694"/>
      <c r="C107" s="87"/>
      <c r="D107" s="87"/>
      <c r="E107" s="704">
        <f t="shared" si="151"/>
        <v>0</v>
      </c>
      <c r="F107" s="88"/>
      <c r="G107" s="702">
        <f t="shared" si="152"/>
        <v>0</v>
      </c>
      <c r="H107" s="699"/>
      <c r="I107" s="674">
        <f>'Kalkulation Herstellungskosten'!G182/((1+1/6)*1.1041)</f>
        <v>0</v>
      </c>
      <c r="J107" s="675">
        <f t="shared" si="196"/>
        <v>0</v>
      </c>
      <c r="K107" s="675">
        <f t="shared" si="197"/>
        <v>0</v>
      </c>
      <c r="L107" s="667">
        <f t="shared" si="198"/>
        <v>0</v>
      </c>
      <c r="M107" s="675">
        <f>IF('Kalkulation Herstellungskosten'!C182=0,0,IF(I107/'Kalkulation Herstellungskosten'!C182&gt;SVGrund_lfd_wö,'Kalkulation Herstellungskosten'!C182*Höchst_Woche,I107*SV_lfd))</f>
        <v>0</v>
      </c>
      <c r="N107" s="675">
        <f t="shared" si="199"/>
        <v>0</v>
      </c>
      <c r="O107" s="675">
        <f>IF(I107*10.41%&gt;(0.5833*'Kalkulation Herstellungskosten'!C182*SVGrund_lfd_tä),(0.5833*'Kalkulation Herstellungskosten'!C182*Höchst_Tag),I107*10.41%*SV_lfd)</f>
        <v>0</v>
      </c>
      <c r="P107" s="675">
        <f t="shared" si="200"/>
        <v>0</v>
      </c>
      <c r="Q107" s="675">
        <f t="shared" si="201"/>
        <v>0</v>
      </c>
      <c r="R107" s="675">
        <f t="shared" si="202"/>
        <v>0</v>
      </c>
      <c r="S107" s="675">
        <f t="shared" si="203"/>
        <v>0</v>
      </c>
      <c r="T107" s="675">
        <f t="shared" si="204"/>
        <v>0</v>
      </c>
      <c r="U107" s="675">
        <f>'Kalkulation Herstellungskosten'!C182*U_Bahn</f>
        <v>0</v>
      </c>
      <c r="V107" s="667">
        <f t="shared" si="205"/>
        <v>0</v>
      </c>
      <c r="W107" s="667">
        <f t="shared" si="206"/>
        <v>0</v>
      </c>
      <c r="X107" s="666"/>
      <c r="Y107" s="666"/>
      <c r="Z107" s="666"/>
      <c r="AA107" s="666"/>
      <c r="AB107" s="666"/>
      <c r="AC107" s="666"/>
      <c r="AD107" s="666"/>
      <c r="AE107" s="666"/>
      <c r="AF107" s="666"/>
      <c r="AG107" s="666"/>
      <c r="AH107" s="666"/>
      <c r="AI107" s="666"/>
      <c r="AJ107" s="666"/>
      <c r="AK107" s="666"/>
      <c r="AL107" s="666"/>
      <c r="AM107" s="666"/>
      <c r="AN107" s="666"/>
      <c r="AO107" s="666"/>
      <c r="AP107" s="666"/>
      <c r="AQ107" s="666"/>
      <c r="AR107" s="666"/>
      <c r="AS107" s="666"/>
      <c r="AT107" s="666"/>
      <c r="AU107" s="666"/>
      <c r="AV107" s="666"/>
      <c r="AW107" s="666"/>
      <c r="AX107" s="666"/>
      <c r="AY107" s="666"/>
      <c r="AZ107" s="666"/>
    </row>
    <row r="108" spans="1:52" ht="12.75" customHeight="1" x14ac:dyDescent="0.2">
      <c r="A108" s="706">
        <f>'Kalkulation Herstellungskosten'!B183</f>
        <v>0</v>
      </c>
      <c r="B108" s="694"/>
      <c r="C108" s="87"/>
      <c r="D108" s="87"/>
      <c r="E108" s="704">
        <f t="shared" si="151"/>
        <v>0</v>
      </c>
      <c r="F108" s="88"/>
      <c r="G108" s="702">
        <f t="shared" si="152"/>
        <v>0</v>
      </c>
      <c r="H108" s="699"/>
      <c r="I108" s="674">
        <f>'Kalkulation Herstellungskosten'!G183/((1+1/6)*1.1041)</f>
        <v>0</v>
      </c>
      <c r="J108" s="675">
        <f t="shared" si="196"/>
        <v>0</v>
      </c>
      <c r="K108" s="675">
        <f t="shared" si="197"/>
        <v>0</v>
      </c>
      <c r="L108" s="667">
        <f t="shared" si="198"/>
        <v>0</v>
      </c>
      <c r="M108" s="675">
        <f>IF('Kalkulation Herstellungskosten'!C183=0,0,IF(I108/'Kalkulation Herstellungskosten'!C183&gt;SVGrund_lfd_wö,'Kalkulation Herstellungskosten'!C183*Höchst_Woche,I108*SV_lfd))</f>
        <v>0</v>
      </c>
      <c r="N108" s="675">
        <f t="shared" si="199"/>
        <v>0</v>
      </c>
      <c r="O108" s="675">
        <f>IF(I108*10.41%&gt;(0.5833*'Kalkulation Herstellungskosten'!C183*SVGrund_lfd_tä),(0.5833*'Kalkulation Herstellungskosten'!C183*Höchst_Tag),I108*10.41%*SV_lfd)</f>
        <v>0</v>
      </c>
      <c r="P108" s="675">
        <f t="shared" si="200"/>
        <v>0</v>
      </c>
      <c r="Q108" s="675">
        <f t="shared" si="201"/>
        <v>0</v>
      </c>
      <c r="R108" s="675">
        <f t="shared" si="202"/>
        <v>0</v>
      </c>
      <c r="S108" s="675">
        <f t="shared" si="203"/>
        <v>0</v>
      </c>
      <c r="T108" s="675">
        <f t="shared" si="204"/>
        <v>0</v>
      </c>
      <c r="U108" s="675">
        <f>'Kalkulation Herstellungskosten'!C183*U_Bahn</f>
        <v>0</v>
      </c>
      <c r="V108" s="667">
        <f t="shared" si="205"/>
        <v>0</v>
      </c>
      <c r="W108" s="667">
        <f t="shared" si="206"/>
        <v>0</v>
      </c>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666"/>
      <c r="AT108" s="666"/>
      <c r="AU108" s="666"/>
      <c r="AV108" s="666"/>
      <c r="AW108" s="666"/>
      <c r="AX108" s="666"/>
      <c r="AY108" s="666"/>
      <c r="AZ108" s="666"/>
    </row>
    <row r="109" spans="1:52" ht="12.75" customHeight="1" x14ac:dyDescent="0.2">
      <c r="A109" s="706">
        <f>'Kalkulation Herstellungskosten'!B184</f>
        <v>0</v>
      </c>
      <c r="B109" s="694"/>
      <c r="C109" s="87"/>
      <c r="D109" s="87"/>
      <c r="E109" s="704">
        <f t="shared" si="151"/>
        <v>0</v>
      </c>
      <c r="F109" s="88"/>
      <c r="G109" s="702">
        <f t="shared" si="152"/>
        <v>0</v>
      </c>
      <c r="H109" s="699"/>
      <c r="I109" s="674">
        <f>'Kalkulation Herstellungskosten'!G184/((1+1/6)*1.1041)</f>
        <v>0</v>
      </c>
      <c r="J109" s="675">
        <f t="shared" si="196"/>
        <v>0</v>
      </c>
      <c r="K109" s="675">
        <f t="shared" si="197"/>
        <v>0</v>
      </c>
      <c r="L109" s="667">
        <f t="shared" si="198"/>
        <v>0</v>
      </c>
      <c r="M109" s="675">
        <f>IF('Kalkulation Herstellungskosten'!C184=0,0,IF(I109/'Kalkulation Herstellungskosten'!C184&gt;SVGrund_lfd_wö,'Kalkulation Herstellungskosten'!C184*Höchst_Woche,I109*SV_lfd))</f>
        <v>0</v>
      </c>
      <c r="N109" s="675">
        <f t="shared" si="199"/>
        <v>0</v>
      </c>
      <c r="O109" s="675">
        <f>IF(I109*10.41%&gt;(0.5833*'Kalkulation Herstellungskosten'!C184*SVGrund_lfd_tä),(0.5833*'Kalkulation Herstellungskosten'!C184*Höchst_Tag),I109*10.41%*SV_lfd)</f>
        <v>0</v>
      </c>
      <c r="P109" s="675">
        <f t="shared" si="200"/>
        <v>0</v>
      </c>
      <c r="Q109" s="675">
        <f t="shared" si="201"/>
        <v>0</v>
      </c>
      <c r="R109" s="675">
        <f t="shared" si="202"/>
        <v>0</v>
      </c>
      <c r="S109" s="675">
        <f t="shared" si="203"/>
        <v>0</v>
      </c>
      <c r="T109" s="675">
        <f t="shared" si="204"/>
        <v>0</v>
      </c>
      <c r="U109" s="675">
        <f>'Kalkulation Herstellungskosten'!C184*U_Bahn</f>
        <v>0</v>
      </c>
      <c r="V109" s="667">
        <f t="shared" si="205"/>
        <v>0</v>
      </c>
      <c r="W109" s="667">
        <f t="shared" si="206"/>
        <v>0</v>
      </c>
      <c r="X109" s="666"/>
      <c r="Y109" s="666"/>
      <c r="Z109" s="666"/>
      <c r="AA109" s="666"/>
      <c r="AB109" s="666"/>
      <c r="AC109" s="666"/>
      <c r="AD109" s="666"/>
      <c r="AE109" s="666"/>
      <c r="AF109" s="666"/>
      <c r="AG109" s="666"/>
      <c r="AH109" s="666"/>
      <c r="AI109" s="666"/>
      <c r="AJ109" s="666"/>
      <c r="AK109" s="666"/>
      <c r="AL109" s="666"/>
      <c r="AM109" s="666"/>
      <c r="AN109" s="666"/>
      <c r="AO109" s="666"/>
      <c r="AP109" s="666"/>
      <c r="AQ109" s="666"/>
      <c r="AR109" s="666"/>
      <c r="AS109" s="666"/>
      <c r="AT109" s="666"/>
      <c r="AU109" s="666"/>
      <c r="AV109" s="666"/>
      <c r="AW109" s="666"/>
      <c r="AX109" s="666"/>
      <c r="AY109" s="666"/>
      <c r="AZ109" s="666"/>
    </row>
    <row r="110" spans="1:52" ht="12.75" customHeight="1" x14ac:dyDescent="0.2">
      <c r="A110" s="706">
        <f>'Kalkulation Herstellungskosten'!B185</f>
        <v>0</v>
      </c>
      <c r="B110" s="694"/>
      <c r="C110" s="87"/>
      <c r="D110" s="87"/>
      <c r="E110" s="704">
        <f t="shared" si="151"/>
        <v>0</v>
      </c>
      <c r="F110" s="88"/>
      <c r="G110" s="702">
        <f t="shared" si="152"/>
        <v>0</v>
      </c>
      <c r="H110" s="699"/>
      <c r="I110" s="674">
        <f>'Kalkulation Herstellungskosten'!G185/((1+1/6)*1.1041)</f>
        <v>0</v>
      </c>
      <c r="J110" s="675">
        <f t="shared" si="196"/>
        <v>0</v>
      </c>
      <c r="K110" s="675">
        <f t="shared" si="197"/>
        <v>0</v>
      </c>
      <c r="L110" s="667">
        <f t="shared" si="198"/>
        <v>0</v>
      </c>
      <c r="M110" s="675">
        <f>IF('Kalkulation Herstellungskosten'!C185=0,0,IF(I110/'Kalkulation Herstellungskosten'!C185&gt;SVGrund_lfd_wö,'Kalkulation Herstellungskosten'!C185*Höchst_Woche,I110*SV_lfd))</f>
        <v>0</v>
      </c>
      <c r="N110" s="675">
        <f t="shared" si="199"/>
        <v>0</v>
      </c>
      <c r="O110" s="675">
        <f>IF(I110*10.41%&gt;(0.5833*'Kalkulation Herstellungskosten'!C185*SVGrund_lfd_tä),(0.5833*'Kalkulation Herstellungskosten'!C185*Höchst_Tag),I110*10.41%*SV_lfd)</f>
        <v>0</v>
      </c>
      <c r="P110" s="675">
        <f t="shared" si="200"/>
        <v>0</v>
      </c>
      <c r="Q110" s="675">
        <f t="shared" si="201"/>
        <v>0</v>
      </c>
      <c r="R110" s="675">
        <f t="shared" si="202"/>
        <v>0</v>
      </c>
      <c r="S110" s="675">
        <f t="shared" si="203"/>
        <v>0</v>
      </c>
      <c r="T110" s="675">
        <f t="shared" si="204"/>
        <v>0</v>
      </c>
      <c r="U110" s="675">
        <f>'Kalkulation Herstellungskosten'!C185*U_Bahn</f>
        <v>0</v>
      </c>
      <c r="V110" s="667">
        <f t="shared" si="205"/>
        <v>0</v>
      </c>
      <c r="W110" s="667">
        <f t="shared" si="206"/>
        <v>0</v>
      </c>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row>
    <row r="111" spans="1:52" ht="12.75" customHeight="1" x14ac:dyDescent="0.2">
      <c r="A111" s="706">
        <f>'Kalkulation Herstellungskosten'!B186</f>
        <v>0</v>
      </c>
      <c r="B111" s="694"/>
      <c r="C111" s="87"/>
      <c r="D111" s="87"/>
      <c r="E111" s="704">
        <f t="shared" si="151"/>
        <v>0</v>
      </c>
      <c r="F111" s="88"/>
      <c r="G111" s="702">
        <f t="shared" si="152"/>
        <v>0</v>
      </c>
      <c r="H111" s="699"/>
      <c r="I111" s="674">
        <f>'Kalkulation Herstellungskosten'!G186/((1+1/6)*1.1041)</f>
        <v>0</v>
      </c>
      <c r="J111" s="675">
        <f t="shared" si="196"/>
        <v>0</v>
      </c>
      <c r="K111" s="675">
        <f t="shared" si="197"/>
        <v>0</v>
      </c>
      <c r="L111" s="667">
        <f t="shared" si="198"/>
        <v>0</v>
      </c>
      <c r="M111" s="675">
        <f>IF('Kalkulation Herstellungskosten'!C186=0,0,IF(I111/'Kalkulation Herstellungskosten'!C186&gt;SVGrund_lfd_wö,'Kalkulation Herstellungskosten'!C186*Höchst_Woche,I111*SV_lfd))</f>
        <v>0</v>
      </c>
      <c r="N111" s="675">
        <f t="shared" si="199"/>
        <v>0</v>
      </c>
      <c r="O111" s="675">
        <f>IF(I111*10.41%&gt;(0.5833*'Kalkulation Herstellungskosten'!C186*SVGrund_lfd_tä),(0.5833*'Kalkulation Herstellungskosten'!C186*Höchst_Tag),I111*10.41%*SV_lfd)</f>
        <v>0</v>
      </c>
      <c r="P111" s="675">
        <f t="shared" si="200"/>
        <v>0</v>
      </c>
      <c r="Q111" s="675">
        <f t="shared" si="201"/>
        <v>0</v>
      </c>
      <c r="R111" s="675">
        <f t="shared" si="202"/>
        <v>0</v>
      </c>
      <c r="S111" s="675">
        <f t="shared" si="203"/>
        <v>0</v>
      </c>
      <c r="T111" s="675">
        <f t="shared" si="204"/>
        <v>0</v>
      </c>
      <c r="U111" s="675">
        <f>'Kalkulation Herstellungskosten'!C186*U_Bahn</f>
        <v>0</v>
      </c>
      <c r="V111" s="667">
        <f t="shared" si="205"/>
        <v>0</v>
      </c>
      <c r="W111" s="667">
        <f t="shared" si="206"/>
        <v>0</v>
      </c>
      <c r="X111" s="666"/>
      <c r="Y111" s="666"/>
      <c r="Z111" s="666"/>
      <c r="AA111" s="666"/>
      <c r="AB111" s="666"/>
      <c r="AC111" s="666"/>
      <c r="AD111" s="666"/>
      <c r="AE111" s="666"/>
      <c r="AF111" s="666"/>
      <c r="AG111" s="666"/>
      <c r="AH111" s="666"/>
      <c r="AI111" s="666"/>
      <c r="AJ111" s="666"/>
      <c r="AK111" s="666"/>
      <c r="AL111" s="666"/>
      <c r="AM111" s="666"/>
      <c r="AN111" s="666"/>
      <c r="AO111" s="666"/>
      <c r="AP111" s="666"/>
      <c r="AQ111" s="666"/>
      <c r="AR111" s="666"/>
      <c r="AS111" s="666"/>
      <c r="AT111" s="666"/>
      <c r="AU111" s="666"/>
      <c r="AV111" s="666"/>
      <c r="AW111" s="666"/>
      <c r="AX111" s="666"/>
      <c r="AY111" s="666"/>
      <c r="AZ111" s="666"/>
    </row>
    <row r="112" spans="1:52" ht="12.75" customHeight="1" x14ac:dyDescent="0.2">
      <c r="A112" s="706">
        <f>'Kalkulation Herstellungskosten'!B187</f>
        <v>0</v>
      </c>
      <c r="B112" s="694"/>
      <c r="C112" s="87"/>
      <c r="D112" s="87"/>
      <c r="E112" s="704">
        <f t="shared" si="151"/>
        <v>0</v>
      </c>
      <c r="F112" s="88"/>
      <c r="G112" s="702">
        <f t="shared" si="152"/>
        <v>0</v>
      </c>
      <c r="H112" s="699"/>
      <c r="I112" s="674">
        <f>'Kalkulation Herstellungskosten'!G187/((1+1/6)*1.1041)</f>
        <v>0</v>
      </c>
      <c r="J112" s="675">
        <f t="shared" si="196"/>
        <v>0</v>
      </c>
      <c r="K112" s="675">
        <f t="shared" si="197"/>
        <v>0</v>
      </c>
      <c r="L112" s="667">
        <f t="shared" si="198"/>
        <v>0</v>
      </c>
      <c r="M112" s="675">
        <f>IF('Kalkulation Herstellungskosten'!C187=0,0,IF(I112/'Kalkulation Herstellungskosten'!C187&gt;SVGrund_lfd_wö,'Kalkulation Herstellungskosten'!C187*Höchst_Woche,I112*SV_lfd))</f>
        <v>0</v>
      </c>
      <c r="N112" s="675">
        <f t="shared" si="199"/>
        <v>0</v>
      </c>
      <c r="O112" s="675">
        <f>IF(I112*10.41%&gt;(0.5833*'Kalkulation Herstellungskosten'!C187*SVGrund_lfd_tä),(0.5833*'Kalkulation Herstellungskosten'!C187*Höchst_Tag),I112*10.41%*SV_lfd)</f>
        <v>0</v>
      </c>
      <c r="P112" s="675">
        <f t="shared" si="200"/>
        <v>0</v>
      </c>
      <c r="Q112" s="675">
        <f t="shared" si="201"/>
        <v>0</v>
      </c>
      <c r="R112" s="675">
        <f t="shared" si="202"/>
        <v>0</v>
      </c>
      <c r="S112" s="675">
        <f t="shared" si="203"/>
        <v>0</v>
      </c>
      <c r="T112" s="675">
        <f t="shared" si="204"/>
        <v>0</v>
      </c>
      <c r="U112" s="675">
        <f>'Kalkulation Herstellungskosten'!C187*U_Bahn</f>
        <v>0</v>
      </c>
      <c r="V112" s="667">
        <f t="shared" si="205"/>
        <v>0</v>
      </c>
      <c r="W112" s="667">
        <f t="shared" si="206"/>
        <v>0</v>
      </c>
      <c r="X112" s="666"/>
      <c r="Y112" s="666"/>
      <c r="Z112" s="666"/>
      <c r="AA112" s="666"/>
      <c r="AB112" s="666"/>
      <c r="AC112" s="666"/>
      <c r="AD112" s="666"/>
      <c r="AE112" s="666"/>
      <c r="AF112" s="666"/>
      <c r="AG112" s="666"/>
      <c r="AH112" s="666"/>
      <c r="AI112" s="666"/>
      <c r="AJ112" s="666"/>
      <c r="AK112" s="666"/>
      <c r="AL112" s="666"/>
      <c r="AM112" s="666"/>
      <c r="AN112" s="666"/>
      <c r="AO112" s="666"/>
      <c r="AP112" s="666"/>
      <c r="AQ112" s="666"/>
      <c r="AR112" s="666"/>
      <c r="AS112" s="666"/>
      <c r="AT112" s="666"/>
      <c r="AU112" s="666"/>
      <c r="AV112" s="666"/>
      <c r="AW112" s="666"/>
      <c r="AX112" s="666"/>
      <c r="AY112" s="666"/>
      <c r="AZ112" s="666"/>
    </row>
    <row r="113" spans="1:52" ht="12.75" customHeight="1" x14ac:dyDescent="0.2">
      <c r="A113" s="706">
        <f>'Kalkulation Herstellungskosten'!B188</f>
        <v>0</v>
      </c>
      <c r="B113" s="694"/>
      <c r="C113" s="87"/>
      <c r="D113" s="87"/>
      <c r="E113" s="704">
        <f t="shared" si="151"/>
        <v>0</v>
      </c>
      <c r="F113" s="88"/>
      <c r="G113" s="702">
        <f t="shared" si="152"/>
        <v>0</v>
      </c>
      <c r="H113" s="699"/>
      <c r="I113" s="674">
        <f>'Kalkulation Herstellungskosten'!G188/((1+1/6)*1.1041)</f>
        <v>0</v>
      </c>
      <c r="J113" s="675">
        <f t="shared" si="196"/>
        <v>0</v>
      </c>
      <c r="K113" s="675">
        <f t="shared" si="197"/>
        <v>0</v>
      </c>
      <c r="L113" s="667">
        <f t="shared" si="198"/>
        <v>0</v>
      </c>
      <c r="M113" s="675">
        <f>IF('Kalkulation Herstellungskosten'!C188=0,0,IF(I113/'Kalkulation Herstellungskosten'!C188&gt;SVGrund_lfd_wö,'Kalkulation Herstellungskosten'!C188*Höchst_Woche,I113*SV_lfd))</f>
        <v>0</v>
      </c>
      <c r="N113" s="675">
        <f t="shared" si="199"/>
        <v>0</v>
      </c>
      <c r="O113" s="675">
        <f>IF(I113*10.41%&gt;(0.5833*'Kalkulation Herstellungskosten'!C188*SVGrund_lfd_tä),(0.5833*'Kalkulation Herstellungskosten'!C188*Höchst_Tag),I113*10.41%*SV_lfd)</f>
        <v>0</v>
      </c>
      <c r="P113" s="675">
        <f t="shared" si="200"/>
        <v>0</v>
      </c>
      <c r="Q113" s="675">
        <f t="shared" si="201"/>
        <v>0</v>
      </c>
      <c r="R113" s="675">
        <f t="shared" si="202"/>
        <v>0</v>
      </c>
      <c r="S113" s="675">
        <f t="shared" si="203"/>
        <v>0</v>
      </c>
      <c r="T113" s="675">
        <f t="shared" si="204"/>
        <v>0</v>
      </c>
      <c r="U113" s="675">
        <f>'Kalkulation Herstellungskosten'!C188*U_Bahn</f>
        <v>0</v>
      </c>
      <c r="V113" s="667">
        <f t="shared" si="205"/>
        <v>0</v>
      </c>
      <c r="W113" s="667">
        <f t="shared" si="206"/>
        <v>0</v>
      </c>
      <c r="X113" s="666"/>
      <c r="Y113" s="666"/>
      <c r="Z113" s="666"/>
      <c r="AA113" s="666"/>
      <c r="AB113" s="666"/>
      <c r="AC113" s="666"/>
      <c r="AD113" s="666"/>
      <c r="AE113" s="666"/>
      <c r="AF113" s="666"/>
      <c r="AG113" s="666"/>
      <c r="AH113" s="666"/>
      <c r="AI113" s="666"/>
      <c r="AJ113" s="666"/>
      <c r="AK113" s="666"/>
      <c r="AL113" s="666"/>
      <c r="AM113" s="666"/>
      <c r="AN113" s="666"/>
      <c r="AO113" s="666"/>
      <c r="AP113" s="666"/>
      <c r="AQ113" s="666"/>
      <c r="AR113" s="666"/>
      <c r="AS113" s="666"/>
      <c r="AT113" s="666"/>
      <c r="AU113" s="666"/>
      <c r="AV113" s="666"/>
      <c r="AW113" s="666"/>
      <c r="AX113" s="666"/>
      <c r="AY113" s="666"/>
      <c r="AZ113" s="666"/>
    </row>
    <row r="114" spans="1:52" ht="12.75" customHeight="1" x14ac:dyDescent="0.2">
      <c r="A114" s="706">
        <f>'Kalkulation Herstellungskosten'!B189</f>
        <v>0</v>
      </c>
      <c r="B114" s="694"/>
      <c r="C114" s="87"/>
      <c r="D114" s="87"/>
      <c r="E114" s="704">
        <f t="shared" si="151"/>
        <v>0</v>
      </c>
      <c r="F114" s="88"/>
      <c r="G114" s="702">
        <f t="shared" si="152"/>
        <v>0</v>
      </c>
      <c r="H114" s="699"/>
      <c r="I114" s="674">
        <f>'Kalkulation Herstellungskosten'!G189/((1+1/6)*1.1041)</f>
        <v>0</v>
      </c>
      <c r="J114" s="675">
        <f t="shared" si="196"/>
        <v>0</v>
      </c>
      <c r="K114" s="675">
        <f t="shared" si="197"/>
        <v>0</v>
      </c>
      <c r="L114" s="667">
        <f t="shared" si="198"/>
        <v>0</v>
      </c>
      <c r="M114" s="675">
        <f>IF('Kalkulation Herstellungskosten'!C189=0,0,IF(I114/'Kalkulation Herstellungskosten'!C189&gt;SVGrund_lfd_wö,'Kalkulation Herstellungskosten'!C189*Höchst_Woche,I114*SV_lfd))</f>
        <v>0</v>
      </c>
      <c r="N114" s="675">
        <f t="shared" si="199"/>
        <v>0</v>
      </c>
      <c r="O114" s="675">
        <f>IF(I114*10.41%&gt;(0.5833*'Kalkulation Herstellungskosten'!C189*SVGrund_lfd_tä),(0.5833*'Kalkulation Herstellungskosten'!C189*Höchst_Tag),I114*10.41%*SV_lfd)</f>
        <v>0</v>
      </c>
      <c r="P114" s="675">
        <f t="shared" si="200"/>
        <v>0</v>
      </c>
      <c r="Q114" s="675">
        <f t="shared" si="201"/>
        <v>0</v>
      </c>
      <c r="R114" s="675">
        <f t="shared" si="202"/>
        <v>0</v>
      </c>
      <c r="S114" s="675">
        <f t="shared" si="203"/>
        <v>0</v>
      </c>
      <c r="T114" s="675">
        <f t="shared" si="204"/>
        <v>0</v>
      </c>
      <c r="U114" s="675">
        <f>'Kalkulation Herstellungskosten'!C189*U_Bahn</f>
        <v>0</v>
      </c>
      <c r="V114" s="667">
        <f t="shared" si="205"/>
        <v>0</v>
      </c>
      <c r="W114" s="667">
        <f t="shared" si="206"/>
        <v>0</v>
      </c>
      <c r="X114" s="666"/>
      <c r="Y114" s="666"/>
      <c r="Z114" s="666"/>
      <c r="AA114" s="666"/>
      <c r="AB114" s="666"/>
      <c r="AC114" s="666"/>
      <c r="AD114" s="666"/>
      <c r="AE114" s="666"/>
      <c r="AF114" s="666"/>
      <c r="AG114" s="666"/>
      <c r="AH114" s="666"/>
      <c r="AI114" s="666"/>
      <c r="AJ114" s="666"/>
      <c r="AK114" s="666"/>
      <c r="AL114" s="666"/>
      <c r="AM114" s="666"/>
      <c r="AN114" s="666"/>
      <c r="AO114" s="666"/>
      <c r="AP114" s="666"/>
      <c r="AQ114" s="666"/>
      <c r="AR114" s="666"/>
      <c r="AS114" s="666"/>
      <c r="AT114" s="666"/>
      <c r="AU114" s="666"/>
      <c r="AV114" s="666"/>
      <c r="AW114" s="666"/>
      <c r="AX114" s="666"/>
      <c r="AY114" s="666"/>
      <c r="AZ114" s="666"/>
    </row>
    <row r="115" spans="1:52" ht="12.75" customHeight="1" x14ac:dyDescent="0.2">
      <c r="A115" s="706">
        <f>'Kalkulation Herstellungskosten'!B190</f>
        <v>0</v>
      </c>
      <c r="B115" s="694"/>
      <c r="C115" s="87"/>
      <c r="D115" s="87"/>
      <c r="E115" s="704">
        <f t="shared" si="151"/>
        <v>0</v>
      </c>
      <c r="F115" s="88"/>
      <c r="G115" s="702">
        <f t="shared" si="152"/>
        <v>0</v>
      </c>
      <c r="H115" s="699"/>
      <c r="I115" s="674">
        <f>'Kalkulation Herstellungskosten'!G190/((1+1/6)*1.1041)</f>
        <v>0</v>
      </c>
      <c r="J115" s="675">
        <f t="shared" si="196"/>
        <v>0</v>
      </c>
      <c r="K115" s="675">
        <f t="shared" si="197"/>
        <v>0</v>
      </c>
      <c r="L115" s="667">
        <f t="shared" si="198"/>
        <v>0</v>
      </c>
      <c r="M115" s="675">
        <f>IF('Kalkulation Herstellungskosten'!C190=0,0,IF(I115/'Kalkulation Herstellungskosten'!C190&gt;SVGrund_lfd_wö,'Kalkulation Herstellungskosten'!C190*Höchst_Woche,I115*SV_lfd))</f>
        <v>0</v>
      </c>
      <c r="N115" s="675">
        <f t="shared" si="199"/>
        <v>0</v>
      </c>
      <c r="O115" s="675">
        <f>IF(I115*10.41%&gt;(0.5833*'Kalkulation Herstellungskosten'!C190*SVGrund_lfd_tä),(0.5833*'Kalkulation Herstellungskosten'!C190*Höchst_Tag),I115*10.41%*SV_lfd)</f>
        <v>0</v>
      </c>
      <c r="P115" s="675">
        <f t="shared" si="200"/>
        <v>0</v>
      </c>
      <c r="Q115" s="675">
        <f t="shared" si="201"/>
        <v>0</v>
      </c>
      <c r="R115" s="675">
        <f t="shared" si="202"/>
        <v>0</v>
      </c>
      <c r="S115" s="675">
        <f t="shared" si="203"/>
        <v>0</v>
      </c>
      <c r="T115" s="675">
        <f t="shared" si="204"/>
        <v>0</v>
      </c>
      <c r="U115" s="675">
        <f>'Kalkulation Herstellungskosten'!C190*U_Bahn</f>
        <v>0</v>
      </c>
      <c r="V115" s="667">
        <f t="shared" si="205"/>
        <v>0</v>
      </c>
      <c r="W115" s="667">
        <f t="shared" si="206"/>
        <v>0</v>
      </c>
      <c r="X115" s="666"/>
      <c r="Y115" s="666"/>
      <c r="Z115" s="666"/>
      <c r="AA115" s="666"/>
      <c r="AB115" s="666"/>
      <c r="AC115" s="666"/>
      <c r="AD115" s="666"/>
      <c r="AE115" s="666"/>
      <c r="AF115" s="666"/>
      <c r="AG115" s="666"/>
      <c r="AH115" s="666"/>
      <c r="AI115" s="666"/>
      <c r="AJ115" s="666"/>
      <c r="AK115" s="666"/>
      <c r="AL115" s="666"/>
      <c r="AM115" s="666"/>
      <c r="AN115" s="666"/>
      <c r="AO115" s="666"/>
      <c r="AP115" s="666"/>
      <c r="AQ115" s="666"/>
      <c r="AR115" s="666"/>
      <c r="AS115" s="666"/>
      <c r="AT115" s="666"/>
      <c r="AU115" s="666"/>
      <c r="AV115" s="666"/>
      <c r="AW115" s="666"/>
      <c r="AX115" s="666"/>
      <c r="AY115" s="666"/>
      <c r="AZ115" s="666"/>
    </row>
    <row r="116" spans="1:52" ht="12.75" customHeight="1" x14ac:dyDescent="0.2">
      <c r="A116" s="706">
        <f>'Kalkulation Herstellungskosten'!B191</f>
        <v>0</v>
      </c>
      <c r="B116" s="694"/>
      <c r="C116" s="87"/>
      <c r="D116" s="87"/>
      <c r="E116" s="704">
        <f t="shared" si="151"/>
        <v>0</v>
      </c>
      <c r="F116" s="88"/>
      <c r="G116" s="702">
        <f t="shared" si="152"/>
        <v>0</v>
      </c>
      <c r="H116" s="699"/>
      <c r="I116" s="674">
        <f>'Kalkulation Herstellungskosten'!G191/((1+1/6)*1.1041)</f>
        <v>0</v>
      </c>
      <c r="J116" s="675">
        <f t="shared" si="196"/>
        <v>0</v>
      </c>
      <c r="K116" s="675">
        <f t="shared" si="197"/>
        <v>0</v>
      </c>
      <c r="L116" s="667">
        <f t="shared" si="198"/>
        <v>0</v>
      </c>
      <c r="M116" s="675">
        <f>IF('Kalkulation Herstellungskosten'!C191=0,0,IF(I116/'Kalkulation Herstellungskosten'!C191&gt;SVGrund_lfd_wö,'Kalkulation Herstellungskosten'!C191*Höchst_Woche,I116*SV_lfd))</f>
        <v>0</v>
      </c>
      <c r="N116" s="675">
        <f t="shared" si="199"/>
        <v>0</v>
      </c>
      <c r="O116" s="675">
        <f>IF(I116*10.41%&gt;(0.5833*'Kalkulation Herstellungskosten'!C191*SVGrund_lfd_tä),(0.5833*'Kalkulation Herstellungskosten'!C191*Höchst_Tag),I116*10.41%*SV_lfd)</f>
        <v>0</v>
      </c>
      <c r="P116" s="675">
        <f t="shared" si="200"/>
        <v>0</v>
      </c>
      <c r="Q116" s="675">
        <f t="shared" si="201"/>
        <v>0</v>
      </c>
      <c r="R116" s="675">
        <f t="shared" si="202"/>
        <v>0</v>
      </c>
      <c r="S116" s="675">
        <f t="shared" si="203"/>
        <v>0</v>
      </c>
      <c r="T116" s="675">
        <f t="shared" si="204"/>
        <v>0</v>
      </c>
      <c r="U116" s="675">
        <f>'Kalkulation Herstellungskosten'!C191*U_Bahn</f>
        <v>0</v>
      </c>
      <c r="V116" s="667">
        <f t="shared" si="205"/>
        <v>0</v>
      </c>
      <c r="W116" s="667">
        <f t="shared" si="206"/>
        <v>0</v>
      </c>
      <c r="X116" s="666"/>
      <c r="Y116" s="666"/>
      <c r="Z116" s="666"/>
      <c r="AA116" s="666"/>
      <c r="AB116" s="666"/>
      <c r="AC116" s="666"/>
      <c r="AD116" s="666"/>
      <c r="AE116" s="666"/>
      <c r="AF116" s="666"/>
      <c r="AG116" s="666"/>
      <c r="AH116" s="666"/>
      <c r="AI116" s="666"/>
      <c r="AJ116" s="666"/>
      <c r="AK116" s="666"/>
      <c r="AL116" s="666"/>
      <c r="AM116" s="666"/>
      <c r="AN116" s="666"/>
      <c r="AO116" s="666"/>
      <c r="AP116" s="666"/>
      <c r="AQ116" s="666"/>
      <c r="AR116" s="666"/>
      <c r="AS116" s="666"/>
      <c r="AT116" s="666"/>
      <c r="AU116" s="666"/>
      <c r="AV116" s="666"/>
      <c r="AW116" s="666"/>
      <c r="AX116" s="666"/>
      <c r="AY116" s="666"/>
      <c r="AZ116" s="666"/>
    </row>
    <row r="117" spans="1:52" ht="12.75" customHeight="1" x14ac:dyDescent="0.2">
      <c r="A117" s="706">
        <f>'Kalkulation Herstellungskosten'!B192</f>
        <v>0</v>
      </c>
      <c r="B117" s="694"/>
      <c r="C117" s="87"/>
      <c r="D117" s="87"/>
      <c r="E117" s="704">
        <f t="shared" si="151"/>
        <v>0</v>
      </c>
      <c r="F117" s="88"/>
      <c r="G117" s="702">
        <f t="shared" si="152"/>
        <v>0</v>
      </c>
      <c r="H117" s="699"/>
      <c r="I117" s="674">
        <f>'Kalkulation Herstellungskosten'!G192/((1+1/6)*1.1041)</f>
        <v>0</v>
      </c>
      <c r="J117" s="675">
        <f t="shared" si="196"/>
        <v>0</v>
      </c>
      <c r="K117" s="675">
        <f t="shared" si="197"/>
        <v>0</v>
      </c>
      <c r="L117" s="667">
        <f t="shared" si="198"/>
        <v>0</v>
      </c>
      <c r="M117" s="675">
        <f>IF('Kalkulation Herstellungskosten'!C192=0,0,IF(I117/'Kalkulation Herstellungskosten'!C192&gt;SVGrund_lfd_wö,'Kalkulation Herstellungskosten'!C192*Höchst_Woche,I117*SV_lfd))</f>
        <v>0</v>
      </c>
      <c r="N117" s="675">
        <f t="shared" si="199"/>
        <v>0</v>
      </c>
      <c r="O117" s="675">
        <f>IF(I117*10.41%&gt;(0.5833*'Kalkulation Herstellungskosten'!C192*SVGrund_lfd_tä),(0.5833*'Kalkulation Herstellungskosten'!C192*Höchst_Tag),I117*10.41%*SV_lfd)</f>
        <v>0</v>
      </c>
      <c r="P117" s="675">
        <f t="shared" si="200"/>
        <v>0</v>
      </c>
      <c r="Q117" s="675">
        <f t="shared" si="201"/>
        <v>0</v>
      </c>
      <c r="R117" s="675">
        <f t="shared" si="202"/>
        <v>0</v>
      </c>
      <c r="S117" s="675">
        <f t="shared" si="203"/>
        <v>0</v>
      </c>
      <c r="T117" s="675">
        <f t="shared" si="204"/>
        <v>0</v>
      </c>
      <c r="U117" s="675">
        <f>'Kalkulation Herstellungskosten'!C192*U_Bahn</f>
        <v>0</v>
      </c>
      <c r="V117" s="667">
        <f t="shared" si="205"/>
        <v>0</v>
      </c>
      <c r="W117" s="667">
        <f t="shared" si="206"/>
        <v>0</v>
      </c>
      <c r="X117" s="666"/>
      <c r="Y117" s="666"/>
      <c r="Z117" s="666"/>
      <c r="AA117" s="666"/>
      <c r="AB117" s="666"/>
      <c r="AC117" s="666"/>
      <c r="AD117" s="666"/>
      <c r="AE117" s="666"/>
      <c r="AF117" s="666"/>
      <c r="AG117" s="666"/>
      <c r="AH117" s="666"/>
      <c r="AI117" s="666"/>
      <c r="AJ117" s="666"/>
      <c r="AK117" s="666"/>
      <c r="AL117" s="666"/>
      <c r="AM117" s="666"/>
      <c r="AN117" s="666"/>
      <c r="AO117" s="666"/>
      <c r="AP117" s="666"/>
      <c r="AQ117" s="666"/>
      <c r="AR117" s="666"/>
      <c r="AS117" s="666"/>
      <c r="AT117" s="666"/>
      <c r="AU117" s="666"/>
      <c r="AV117" s="666"/>
      <c r="AW117" s="666"/>
      <c r="AX117" s="666"/>
      <c r="AY117" s="666"/>
      <c r="AZ117" s="666"/>
    </row>
    <row r="118" spans="1:52" ht="12.75" customHeight="1" x14ac:dyDescent="0.2">
      <c r="A118" s="706">
        <f>'Kalkulation Herstellungskosten'!B193</f>
        <v>0</v>
      </c>
      <c r="B118" s="694"/>
      <c r="C118" s="87"/>
      <c r="D118" s="87"/>
      <c r="E118" s="704">
        <f t="shared" si="151"/>
        <v>0</v>
      </c>
      <c r="F118" s="88"/>
      <c r="G118" s="702">
        <f t="shared" si="152"/>
        <v>0</v>
      </c>
      <c r="H118" s="699"/>
      <c r="I118" s="674">
        <f>'Kalkulation Herstellungskosten'!G193/((1+1/6)*1.1041)</f>
        <v>0</v>
      </c>
      <c r="J118" s="675">
        <f t="shared" si="196"/>
        <v>0</v>
      </c>
      <c r="K118" s="675">
        <f t="shared" si="197"/>
        <v>0</v>
      </c>
      <c r="L118" s="667">
        <f t="shared" si="198"/>
        <v>0</v>
      </c>
      <c r="M118" s="675">
        <f>IF('Kalkulation Herstellungskosten'!C193=0,0,IF(I118/'Kalkulation Herstellungskosten'!C193&gt;SVGrund_lfd_wö,'Kalkulation Herstellungskosten'!C193*Höchst_Woche,I118*SV_lfd))</f>
        <v>0</v>
      </c>
      <c r="N118" s="675">
        <f t="shared" si="199"/>
        <v>0</v>
      </c>
      <c r="O118" s="675">
        <f>IF(I118*10.41%&gt;(0.5833*'Kalkulation Herstellungskosten'!C193*SVGrund_lfd_tä),(0.5833*'Kalkulation Herstellungskosten'!C193*Höchst_Tag),I118*10.41%*SV_lfd)</f>
        <v>0</v>
      </c>
      <c r="P118" s="675">
        <f t="shared" si="200"/>
        <v>0</v>
      </c>
      <c r="Q118" s="675">
        <f t="shared" si="201"/>
        <v>0</v>
      </c>
      <c r="R118" s="675">
        <f t="shared" si="202"/>
        <v>0</v>
      </c>
      <c r="S118" s="675">
        <f t="shared" si="203"/>
        <v>0</v>
      </c>
      <c r="T118" s="675">
        <f t="shared" si="204"/>
        <v>0</v>
      </c>
      <c r="U118" s="675">
        <f>'Kalkulation Herstellungskosten'!C193*U_Bahn</f>
        <v>0</v>
      </c>
      <c r="V118" s="667">
        <f t="shared" si="205"/>
        <v>0</v>
      </c>
      <c r="W118" s="667">
        <f t="shared" si="206"/>
        <v>0</v>
      </c>
      <c r="X118" s="666"/>
      <c r="Y118" s="666"/>
      <c r="Z118" s="666"/>
      <c r="AA118" s="666"/>
      <c r="AB118" s="666"/>
      <c r="AC118" s="666"/>
      <c r="AD118" s="666"/>
      <c r="AE118" s="666"/>
      <c r="AF118" s="666"/>
      <c r="AG118" s="666"/>
      <c r="AH118" s="666"/>
      <c r="AI118" s="666"/>
      <c r="AJ118" s="666"/>
      <c r="AK118" s="666"/>
      <c r="AL118" s="666"/>
      <c r="AM118" s="666"/>
      <c r="AN118" s="666"/>
      <c r="AO118" s="666"/>
      <c r="AP118" s="666"/>
      <c r="AQ118" s="666"/>
      <c r="AR118" s="666"/>
      <c r="AS118" s="666"/>
      <c r="AT118" s="666"/>
      <c r="AU118" s="666"/>
      <c r="AV118" s="666"/>
      <c r="AW118" s="666"/>
      <c r="AX118" s="666"/>
      <c r="AY118" s="666"/>
      <c r="AZ118" s="666"/>
    </row>
    <row r="119" spans="1:52" ht="12.75" customHeight="1" x14ac:dyDescent="0.2">
      <c r="A119" s="706">
        <f>'Kalkulation Herstellungskosten'!B194</f>
        <v>0</v>
      </c>
      <c r="B119" s="694"/>
      <c r="C119" s="87"/>
      <c r="D119" s="87"/>
      <c r="E119" s="704">
        <f t="shared" si="151"/>
        <v>0</v>
      </c>
      <c r="F119" s="88"/>
      <c r="G119" s="702">
        <f t="shared" si="152"/>
        <v>0</v>
      </c>
      <c r="H119" s="699"/>
      <c r="I119" s="674">
        <f>'Kalkulation Herstellungskosten'!G194/((1+1/6)*1.1041)</f>
        <v>0</v>
      </c>
      <c r="J119" s="675">
        <f t="shared" si="196"/>
        <v>0</v>
      </c>
      <c r="K119" s="675">
        <f t="shared" si="197"/>
        <v>0</v>
      </c>
      <c r="L119" s="667">
        <f t="shared" si="198"/>
        <v>0</v>
      </c>
      <c r="M119" s="675">
        <f>IF('Kalkulation Herstellungskosten'!C194=0,0,IF(I119/'Kalkulation Herstellungskosten'!C194&gt;SVGrund_lfd_wö,'Kalkulation Herstellungskosten'!C194*Höchst_Woche,I119*SV_lfd))</f>
        <v>0</v>
      </c>
      <c r="N119" s="675">
        <f t="shared" si="199"/>
        <v>0</v>
      </c>
      <c r="O119" s="675">
        <f>IF(I119*10.41%&gt;(0.5833*'Kalkulation Herstellungskosten'!C194*SVGrund_lfd_tä),(0.5833*'Kalkulation Herstellungskosten'!C194*Höchst_Tag),I119*10.41%*SV_lfd)</f>
        <v>0</v>
      </c>
      <c r="P119" s="675">
        <f t="shared" si="200"/>
        <v>0</v>
      </c>
      <c r="Q119" s="675">
        <f t="shared" si="201"/>
        <v>0</v>
      </c>
      <c r="R119" s="675">
        <f t="shared" si="202"/>
        <v>0</v>
      </c>
      <c r="S119" s="675">
        <f t="shared" si="203"/>
        <v>0</v>
      </c>
      <c r="T119" s="675">
        <f t="shared" si="204"/>
        <v>0</v>
      </c>
      <c r="U119" s="675">
        <f>'Kalkulation Herstellungskosten'!C194*U_Bahn</f>
        <v>0</v>
      </c>
      <c r="V119" s="667">
        <f t="shared" si="205"/>
        <v>0</v>
      </c>
      <c r="W119" s="667">
        <f t="shared" si="206"/>
        <v>0</v>
      </c>
      <c r="X119" s="666"/>
      <c r="Y119" s="666"/>
      <c r="Z119" s="666"/>
      <c r="AA119" s="666"/>
      <c r="AB119" s="666"/>
      <c r="AC119" s="666"/>
      <c r="AD119" s="666"/>
      <c r="AE119" s="666"/>
      <c r="AF119" s="666"/>
      <c r="AG119" s="666"/>
      <c r="AH119" s="666"/>
      <c r="AI119" s="666"/>
      <c r="AJ119" s="666"/>
      <c r="AK119" s="666"/>
      <c r="AL119" s="666"/>
      <c r="AM119" s="666"/>
      <c r="AN119" s="666"/>
      <c r="AO119" s="666"/>
      <c r="AP119" s="666"/>
      <c r="AQ119" s="666"/>
      <c r="AR119" s="666"/>
      <c r="AS119" s="666"/>
      <c r="AT119" s="666"/>
      <c r="AU119" s="666"/>
      <c r="AV119" s="666"/>
      <c r="AW119" s="666"/>
      <c r="AX119" s="666"/>
      <c r="AY119" s="666"/>
      <c r="AZ119" s="666"/>
    </row>
    <row r="120" spans="1:52" ht="12.75" customHeight="1" x14ac:dyDescent="0.2">
      <c r="A120" s="706">
        <f>'Kalkulation Herstellungskosten'!B195</f>
        <v>0</v>
      </c>
      <c r="B120" s="694"/>
      <c r="C120" s="87"/>
      <c r="D120" s="87"/>
      <c r="E120" s="704">
        <f t="shared" si="151"/>
        <v>0</v>
      </c>
      <c r="F120" s="88"/>
      <c r="G120" s="702">
        <f t="shared" si="152"/>
        <v>0</v>
      </c>
      <c r="H120" s="699"/>
      <c r="I120" s="674">
        <f>'Kalkulation Herstellungskosten'!G195/((1+1/6)*1.1041)</f>
        <v>0</v>
      </c>
      <c r="J120" s="675">
        <f t="shared" si="196"/>
        <v>0</v>
      </c>
      <c r="K120" s="675">
        <f t="shared" si="197"/>
        <v>0</v>
      </c>
      <c r="L120" s="667">
        <f t="shared" si="198"/>
        <v>0</v>
      </c>
      <c r="M120" s="675">
        <f>IF('Kalkulation Herstellungskosten'!C195=0,0,IF(I120/'Kalkulation Herstellungskosten'!C195&gt;SVGrund_lfd_wö,'Kalkulation Herstellungskosten'!C195*Höchst_Woche,I120*SV_lfd))</f>
        <v>0</v>
      </c>
      <c r="N120" s="675">
        <f t="shared" si="199"/>
        <v>0</v>
      </c>
      <c r="O120" s="675">
        <f>IF(I120*10.41%&gt;(0.5833*'Kalkulation Herstellungskosten'!C195*SVGrund_lfd_tä),(0.5833*'Kalkulation Herstellungskosten'!C195*Höchst_Tag),I120*10.41%*SV_lfd)</f>
        <v>0</v>
      </c>
      <c r="P120" s="675">
        <f t="shared" si="200"/>
        <v>0</v>
      </c>
      <c r="Q120" s="675">
        <f t="shared" si="201"/>
        <v>0</v>
      </c>
      <c r="R120" s="675">
        <f t="shared" si="202"/>
        <v>0</v>
      </c>
      <c r="S120" s="675">
        <f t="shared" si="203"/>
        <v>0</v>
      </c>
      <c r="T120" s="675">
        <f t="shared" si="204"/>
        <v>0</v>
      </c>
      <c r="U120" s="675">
        <f>'Kalkulation Herstellungskosten'!C195*U_Bahn</f>
        <v>0</v>
      </c>
      <c r="V120" s="667">
        <f t="shared" si="205"/>
        <v>0</v>
      </c>
      <c r="W120" s="667">
        <f t="shared" si="206"/>
        <v>0</v>
      </c>
      <c r="X120" s="666"/>
      <c r="Y120" s="666"/>
      <c r="Z120" s="666"/>
      <c r="AA120" s="666"/>
      <c r="AB120" s="666"/>
      <c r="AC120" s="666"/>
      <c r="AD120" s="666"/>
      <c r="AE120" s="666"/>
      <c r="AF120" s="666"/>
      <c r="AG120" s="666"/>
      <c r="AH120" s="666"/>
      <c r="AI120" s="666"/>
      <c r="AJ120" s="666"/>
      <c r="AK120" s="666"/>
      <c r="AL120" s="666"/>
      <c r="AM120" s="666"/>
      <c r="AN120" s="666"/>
      <c r="AO120" s="666"/>
      <c r="AP120" s="666"/>
      <c r="AQ120" s="666"/>
      <c r="AR120" s="666"/>
      <c r="AS120" s="666"/>
      <c r="AT120" s="666"/>
      <c r="AU120" s="666"/>
      <c r="AV120" s="666"/>
      <c r="AW120" s="666"/>
      <c r="AX120" s="666"/>
      <c r="AY120" s="666"/>
      <c r="AZ120" s="666"/>
    </row>
    <row r="121" spans="1:52" ht="12.75" customHeight="1" x14ac:dyDescent="0.2">
      <c r="A121" s="706">
        <f>'Kalkulation Herstellungskosten'!B196</f>
        <v>0</v>
      </c>
      <c r="B121" s="694"/>
      <c r="C121" s="87"/>
      <c r="D121" s="87"/>
      <c r="E121" s="704">
        <f t="shared" si="151"/>
        <v>0</v>
      </c>
      <c r="F121" s="88"/>
      <c r="G121" s="702">
        <f t="shared" si="152"/>
        <v>0</v>
      </c>
      <c r="H121" s="699"/>
      <c r="I121" s="674">
        <f>'Kalkulation Herstellungskosten'!G196/((1+1/6)*1.1041)</f>
        <v>0</v>
      </c>
      <c r="J121" s="675">
        <f t="shared" si="196"/>
        <v>0</v>
      </c>
      <c r="K121" s="675">
        <f t="shared" si="197"/>
        <v>0</v>
      </c>
      <c r="L121" s="667">
        <f t="shared" si="198"/>
        <v>0</v>
      </c>
      <c r="M121" s="675">
        <f>IF('Kalkulation Herstellungskosten'!C196=0,0,IF(I121/'Kalkulation Herstellungskosten'!C196&gt;SVGrund_lfd_wö,'Kalkulation Herstellungskosten'!C196*Höchst_Woche,I121*SV_lfd))</f>
        <v>0</v>
      </c>
      <c r="N121" s="675">
        <f t="shared" si="199"/>
        <v>0</v>
      </c>
      <c r="O121" s="675">
        <f>IF(I121*10.41%&gt;(0.5833*'Kalkulation Herstellungskosten'!C196*SVGrund_lfd_tä),(0.5833*'Kalkulation Herstellungskosten'!C196*Höchst_Tag),I121*10.41%*SV_lfd)</f>
        <v>0</v>
      </c>
      <c r="P121" s="675">
        <f t="shared" si="200"/>
        <v>0</v>
      </c>
      <c r="Q121" s="675">
        <f t="shared" si="201"/>
        <v>0</v>
      </c>
      <c r="R121" s="675">
        <f t="shared" si="202"/>
        <v>0</v>
      </c>
      <c r="S121" s="675">
        <f t="shared" si="203"/>
        <v>0</v>
      </c>
      <c r="T121" s="675">
        <f t="shared" si="204"/>
        <v>0</v>
      </c>
      <c r="U121" s="675">
        <f>'Kalkulation Herstellungskosten'!C196*U_Bahn</f>
        <v>0</v>
      </c>
      <c r="V121" s="667">
        <f t="shared" si="205"/>
        <v>0</v>
      </c>
      <c r="W121" s="667">
        <f t="shared" si="206"/>
        <v>0</v>
      </c>
      <c r="X121" s="666"/>
      <c r="Y121" s="666"/>
      <c r="Z121" s="666"/>
      <c r="AA121" s="666"/>
      <c r="AB121" s="666"/>
      <c r="AC121" s="666"/>
      <c r="AD121" s="666"/>
      <c r="AE121" s="666"/>
      <c r="AF121" s="666"/>
      <c r="AG121" s="666"/>
      <c r="AH121" s="666"/>
      <c r="AI121" s="666"/>
      <c r="AJ121" s="666"/>
      <c r="AK121" s="666"/>
      <c r="AL121" s="666"/>
      <c r="AM121" s="666"/>
      <c r="AN121" s="666"/>
      <c r="AO121" s="666"/>
      <c r="AP121" s="666"/>
      <c r="AQ121" s="666"/>
      <c r="AR121" s="666"/>
      <c r="AS121" s="666"/>
      <c r="AT121" s="666"/>
      <c r="AU121" s="666"/>
      <c r="AV121" s="666"/>
      <c r="AW121" s="666"/>
      <c r="AX121" s="666"/>
      <c r="AY121" s="666"/>
      <c r="AZ121" s="666"/>
    </row>
    <row r="122" spans="1:52" ht="12.75" customHeight="1" x14ac:dyDescent="0.2">
      <c r="A122" s="706">
        <f>'Kalkulation Herstellungskosten'!B197</f>
        <v>0</v>
      </c>
      <c r="B122" s="694"/>
      <c r="C122" s="87"/>
      <c r="D122" s="87"/>
      <c r="E122" s="704">
        <f t="shared" si="151"/>
        <v>0</v>
      </c>
      <c r="F122" s="88"/>
      <c r="G122" s="702">
        <f t="shared" si="152"/>
        <v>0</v>
      </c>
      <c r="H122" s="699"/>
      <c r="I122" s="674">
        <f>'Kalkulation Herstellungskosten'!G197/((1+1/6)*1.1041)</f>
        <v>0</v>
      </c>
      <c r="J122" s="675">
        <f t="shared" si="196"/>
        <v>0</v>
      </c>
      <c r="K122" s="675">
        <f t="shared" si="197"/>
        <v>0</v>
      </c>
      <c r="L122" s="667">
        <f t="shared" si="198"/>
        <v>0</v>
      </c>
      <c r="M122" s="675">
        <f>IF('Kalkulation Herstellungskosten'!C197=0,0,IF(I122/'Kalkulation Herstellungskosten'!C197&gt;SVGrund_lfd_wö,'Kalkulation Herstellungskosten'!C197*Höchst_Woche,I122*SV_lfd))</f>
        <v>0</v>
      </c>
      <c r="N122" s="675">
        <f t="shared" si="199"/>
        <v>0</v>
      </c>
      <c r="O122" s="675">
        <f>IF(I122*10.41%&gt;(0.5833*'Kalkulation Herstellungskosten'!C197*SVGrund_lfd_tä),(0.5833*'Kalkulation Herstellungskosten'!C197*Höchst_Tag),I122*10.41%*SV_lfd)</f>
        <v>0</v>
      </c>
      <c r="P122" s="675">
        <f t="shared" si="200"/>
        <v>0</v>
      </c>
      <c r="Q122" s="675">
        <f t="shared" si="201"/>
        <v>0</v>
      </c>
      <c r="R122" s="675">
        <f t="shared" si="202"/>
        <v>0</v>
      </c>
      <c r="S122" s="675">
        <f t="shared" si="203"/>
        <v>0</v>
      </c>
      <c r="T122" s="675">
        <f t="shared" si="204"/>
        <v>0</v>
      </c>
      <c r="U122" s="675">
        <f>'Kalkulation Herstellungskosten'!C197*U_Bahn</f>
        <v>0</v>
      </c>
      <c r="V122" s="667">
        <f t="shared" si="205"/>
        <v>0</v>
      </c>
      <c r="W122" s="667">
        <f t="shared" si="206"/>
        <v>0</v>
      </c>
      <c r="X122" s="666"/>
      <c r="Y122" s="666"/>
      <c r="Z122" s="666"/>
      <c r="AA122" s="666"/>
      <c r="AB122" s="666"/>
      <c r="AC122" s="666"/>
      <c r="AD122" s="666"/>
      <c r="AE122" s="666"/>
      <c r="AF122" s="666"/>
      <c r="AG122" s="666"/>
      <c r="AH122" s="666"/>
      <c r="AI122" s="666"/>
      <c r="AJ122" s="666"/>
      <c r="AK122" s="666"/>
      <c r="AL122" s="666"/>
      <c r="AM122" s="666"/>
      <c r="AN122" s="666"/>
      <c r="AO122" s="666"/>
      <c r="AP122" s="666"/>
      <c r="AQ122" s="666"/>
      <c r="AR122" s="666"/>
      <c r="AS122" s="666"/>
      <c r="AT122" s="666"/>
      <c r="AU122" s="666"/>
      <c r="AV122" s="666"/>
      <c r="AW122" s="666"/>
      <c r="AX122" s="666"/>
      <c r="AY122" s="666"/>
      <c r="AZ122" s="666"/>
    </row>
    <row r="123" spans="1:52" ht="12.75" customHeight="1" x14ac:dyDescent="0.2">
      <c r="A123" s="706">
        <f>'Kalkulation Herstellungskosten'!B198</f>
        <v>0</v>
      </c>
      <c r="B123" s="694"/>
      <c r="C123" s="87"/>
      <c r="D123" s="87"/>
      <c r="E123" s="704">
        <f t="shared" si="151"/>
        <v>0</v>
      </c>
      <c r="F123" s="88"/>
      <c r="G123" s="702">
        <f t="shared" si="152"/>
        <v>0</v>
      </c>
      <c r="H123" s="699"/>
      <c r="I123" s="674">
        <f>'Kalkulation Herstellungskosten'!G198/((1+1/6)*1.1041)</f>
        <v>0</v>
      </c>
      <c r="J123" s="675">
        <f t="shared" ref="J123:J129" si="207">I123/6</f>
        <v>0</v>
      </c>
      <c r="K123" s="675">
        <f t="shared" ref="K123:K129" si="208">(I123+J123)*10.41%</f>
        <v>0</v>
      </c>
      <c r="L123" s="667">
        <f t="shared" ref="L123:L129" si="209">SUM(I123:K123)</f>
        <v>0</v>
      </c>
      <c r="M123" s="675">
        <f>IF('Kalkulation Herstellungskosten'!C198=0,0,IF(I123/'Kalkulation Herstellungskosten'!C198&gt;SVGrund_lfd_wö,'Kalkulation Herstellungskosten'!C198*Höchst_Woche,I123*SV_lfd))</f>
        <v>0</v>
      </c>
      <c r="N123" s="675">
        <f t="shared" ref="N123:N129" si="210">IF(J123&gt;SVGrund_SZ, Höchst_Mo_SZ,J123*SV_SZ)</f>
        <v>0</v>
      </c>
      <c r="O123" s="675">
        <f>IF(I123*10.41%&gt;(0.5833*'Kalkulation Herstellungskosten'!C198*SVGrund_lfd_tä),(0.5833*'Kalkulation Herstellungskosten'!C198*Höchst_Tag),I123*10.41%*SV_lfd)</f>
        <v>0</v>
      </c>
      <c r="P123" s="675">
        <f t="shared" ref="P123:P129" si="211">IF(J123&gt;SVGrund_SZ,0,IF(J123*10.41%&gt;(SVGrund_SZ-J123),(SVGrund_SZ-J123)*SV_SZ,J123*10.41%*SV_SZ))</f>
        <v>0</v>
      </c>
      <c r="Q123" s="675">
        <f t="shared" ref="Q123:Q129" si="212">L123*MV</f>
        <v>0</v>
      </c>
      <c r="R123" s="675">
        <f t="shared" ref="R123:R129" si="213">L123*DB</f>
        <v>0</v>
      </c>
      <c r="S123" s="675">
        <f t="shared" ref="S123:S129" si="214">L123*DZ</f>
        <v>0</v>
      </c>
      <c r="T123" s="675">
        <f t="shared" ref="T123:T129" si="215">L123*KommSt</f>
        <v>0</v>
      </c>
      <c r="U123" s="675">
        <f>'Kalkulation Herstellungskosten'!C198*U_Bahn</f>
        <v>0</v>
      </c>
      <c r="V123" s="667">
        <f t="shared" ref="V123:V129" si="216">SUM(M123:U123)</f>
        <v>0</v>
      </c>
      <c r="W123" s="667">
        <f t="shared" ref="W123:W129" si="217">SUM(L123,V123)</f>
        <v>0</v>
      </c>
      <c r="X123" s="666"/>
      <c r="Y123" s="666"/>
      <c r="Z123" s="666"/>
      <c r="AA123" s="666"/>
      <c r="AB123" s="666"/>
      <c r="AC123" s="666"/>
      <c r="AD123" s="666"/>
      <c r="AE123" s="666"/>
      <c r="AF123" s="666"/>
      <c r="AG123" s="666"/>
      <c r="AH123" s="666"/>
      <c r="AI123" s="666"/>
      <c r="AJ123" s="666"/>
      <c r="AK123" s="666"/>
      <c r="AL123" s="666"/>
      <c r="AM123" s="666"/>
      <c r="AN123" s="666"/>
      <c r="AO123" s="666"/>
      <c r="AP123" s="666"/>
      <c r="AQ123" s="666"/>
      <c r="AR123" s="666"/>
      <c r="AS123" s="666"/>
      <c r="AT123" s="666"/>
      <c r="AU123" s="666"/>
      <c r="AV123" s="666"/>
      <c r="AW123" s="666"/>
      <c r="AX123" s="666"/>
      <c r="AY123" s="666"/>
      <c r="AZ123" s="666"/>
    </row>
    <row r="124" spans="1:52" ht="12.75" customHeight="1" x14ac:dyDescent="0.2">
      <c r="A124" s="706">
        <f>'Kalkulation Herstellungskosten'!B199</f>
        <v>0</v>
      </c>
      <c r="B124" s="694"/>
      <c r="C124" s="87"/>
      <c r="D124" s="87"/>
      <c r="E124" s="704">
        <f t="shared" si="151"/>
        <v>0</v>
      </c>
      <c r="F124" s="88"/>
      <c r="G124" s="702">
        <f t="shared" si="152"/>
        <v>0</v>
      </c>
      <c r="H124" s="699"/>
      <c r="I124" s="674">
        <f>'Kalkulation Herstellungskosten'!G199/((1+1/6)*1.1041)</f>
        <v>0</v>
      </c>
      <c r="J124" s="675">
        <f t="shared" si="207"/>
        <v>0</v>
      </c>
      <c r="K124" s="675">
        <f t="shared" si="208"/>
        <v>0</v>
      </c>
      <c r="L124" s="667">
        <f t="shared" si="209"/>
        <v>0</v>
      </c>
      <c r="M124" s="675">
        <f>IF('Kalkulation Herstellungskosten'!C199=0,0,IF(I124/'Kalkulation Herstellungskosten'!C199&gt;SVGrund_lfd_wö,'Kalkulation Herstellungskosten'!C199*Höchst_Woche,I124*SV_lfd))</f>
        <v>0</v>
      </c>
      <c r="N124" s="675">
        <f t="shared" si="210"/>
        <v>0</v>
      </c>
      <c r="O124" s="675">
        <f>IF(I124*10.41%&gt;(0.5833*'Kalkulation Herstellungskosten'!C199*SVGrund_lfd_tä),(0.5833*'Kalkulation Herstellungskosten'!C199*Höchst_Tag),I124*10.41%*SV_lfd)</f>
        <v>0</v>
      </c>
      <c r="P124" s="675">
        <f t="shared" si="211"/>
        <v>0</v>
      </c>
      <c r="Q124" s="675">
        <f t="shared" si="212"/>
        <v>0</v>
      </c>
      <c r="R124" s="675">
        <f t="shared" si="213"/>
        <v>0</v>
      </c>
      <c r="S124" s="675">
        <f t="shared" si="214"/>
        <v>0</v>
      </c>
      <c r="T124" s="675">
        <f t="shared" si="215"/>
        <v>0</v>
      </c>
      <c r="U124" s="675">
        <f>'Kalkulation Herstellungskosten'!C199*U_Bahn</f>
        <v>0</v>
      </c>
      <c r="V124" s="667">
        <f t="shared" si="216"/>
        <v>0</v>
      </c>
      <c r="W124" s="667">
        <f t="shared" si="217"/>
        <v>0</v>
      </c>
      <c r="X124" s="666"/>
      <c r="Y124" s="666"/>
      <c r="Z124" s="666"/>
      <c r="AA124" s="666"/>
      <c r="AB124" s="666"/>
      <c r="AC124" s="666"/>
      <c r="AD124" s="666"/>
      <c r="AE124" s="666"/>
      <c r="AF124" s="666"/>
      <c r="AG124" s="666"/>
      <c r="AH124" s="666"/>
      <c r="AI124" s="666"/>
      <c r="AJ124" s="666"/>
      <c r="AK124" s="666"/>
      <c r="AL124" s="666"/>
      <c r="AM124" s="666"/>
      <c r="AN124" s="666"/>
      <c r="AO124" s="666"/>
      <c r="AP124" s="666"/>
      <c r="AQ124" s="666"/>
      <c r="AR124" s="666"/>
      <c r="AS124" s="666"/>
      <c r="AT124" s="666"/>
      <c r="AU124" s="666"/>
      <c r="AV124" s="666"/>
      <c r="AW124" s="666"/>
      <c r="AX124" s="666"/>
      <c r="AY124" s="666"/>
      <c r="AZ124" s="666"/>
    </row>
    <row r="125" spans="1:52" ht="12.75" customHeight="1" x14ac:dyDescent="0.2">
      <c r="A125" s="706">
        <f>'Kalkulation Herstellungskosten'!B200</f>
        <v>0</v>
      </c>
      <c r="B125" s="694"/>
      <c r="C125" s="87"/>
      <c r="D125" s="87"/>
      <c r="E125" s="704">
        <f t="shared" si="151"/>
        <v>0</v>
      </c>
      <c r="F125" s="88"/>
      <c r="G125" s="702">
        <f t="shared" si="152"/>
        <v>0</v>
      </c>
      <c r="H125" s="699"/>
      <c r="I125" s="674">
        <f>'Kalkulation Herstellungskosten'!G200/((1+1/6)*1.1041)</f>
        <v>0</v>
      </c>
      <c r="J125" s="675">
        <f t="shared" si="207"/>
        <v>0</v>
      </c>
      <c r="K125" s="675">
        <f t="shared" si="208"/>
        <v>0</v>
      </c>
      <c r="L125" s="667">
        <f t="shared" si="209"/>
        <v>0</v>
      </c>
      <c r="M125" s="675">
        <f>IF('Kalkulation Herstellungskosten'!C200=0,0,IF(I125/'Kalkulation Herstellungskosten'!C200&gt;SVGrund_lfd_wö,'Kalkulation Herstellungskosten'!C200*Höchst_Woche,I125*SV_lfd))</f>
        <v>0</v>
      </c>
      <c r="N125" s="675">
        <f t="shared" si="210"/>
        <v>0</v>
      </c>
      <c r="O125" s="675">
        <f>IF(I125*10.41%&gt;(0.5833*'Kalkulation Herstellungskosten'!C200*SVGrund_lfd_tä),(0.5833*'Kalkulation Herstellungskosten'!C200*Höchst_Tag),I125*10.41%*SV_lfd)</f>
        <v>0</v>
      </c>
      <c r="P125" s="675">
        <f t="shared" si="211"/>
        <v>0</v>
      </c>
      <c r="Q125" s="675">
        <f t="shared" si="212"/>
        <v>0</v>
      </c>
      <c r="R125" s="675">
        <f t="shared" si="213"/>
        <v>0</v>
      </c>
      <c r="S125" s="675">
        <f t="shared" si="214"/>
        <v>0</v>
      </c>
      <c r="T125" s="675">
        <f t="shared" si="215"/>
        <v>0</v>
      </c>
      <c r="U125" s="675">
        <f>'Kalkulation Herstellungskosten'!C200*U_Bahn</f>
        <v>0</v>
      </c>
      <c r="V125" s="667">
        <f t="shared" si="216"/>
        <v>0</v>
      </c>
      <c r="W125" s="667">
        <f t="shared" si="217"/>
        <v>0</v>
      </c>
      <c r="X125" s="666"/>
      <c r="Y125" s="666"/>
      <c r="Z125" s="666"/>
      <c r="AA125" s="666"/>
      <c r="AB125" s="666"/>
      <c r="AC125" s="666"/>
      <c r="AD125" s="666"/>
      <c r="AE125" s="666"/>
      <c r="AF125" s="666"/>
      <c r="AG125" s="666"/>
      <c r="AH125" s="666"/>
      <c r="AI125" s="666"/>
      <c r="AJ125" s="666"/>
      <c r="AK125" s="666"/>
      <c r="AL125" s="666"/>
      <c r="AM125" s="666"/>
      <c r="AN125" s="666"/>
      <c r="AO125" s="666"/>
      <c r="AP125" s="666"/>
      <c r="AQ125" s="666"/>
      <c r="AR125" s="666"/>
      <c r="AS125" s="666"/>
      <c r="AT125" s="666"/>
      <c r="AU125" s="666"/>
      <c r="AV125" s="666"/>
      <c r="AW125" s="666"/>
      <c r="AX125" s="666"/>
      <c r="AY125" s="666"/>
      <c r="AZ125" s="666"/>
    </row>
    <row r="126" spans="1:52" ht="12.75" customHeight="1" x14ac:dyDescent="0.2">
      <c r="A126" s="706">
        <f>'Kalkulation Herstellungskosten'!B201</f>
        <v>0</v>
      </c>
      <c r="B126" s="694"/>
      <c r="C126" s="87"/>
      <c r="D126" s="87"/>
      <c r="E126" s="704">
        <f t="shared" si="151"/>
        <v>0</v>
      </c>
      <c r="F126" s="88"/>
      <c r="G126" s="702">
        <f t="shared" si="152"/>
        <v>0</v>
      </c>
      <c r="H126" s="699"/>
      <c r="I126" s="674">
        <f>'Kalkulation Herstellungskosten'!G201/((1+1/6)*1.1041)</f>
        <v>0</v>
      </c>
      <c r="J126" s="675">
        <f t="shared" si="207"/>
        <v>0</v>
      </c>
      <c r="K126" s="675">
        <f t="shared" si="208"/>
        <v>0</v>
      </c>
      <c r="L126" s="667">
        <f t="shared" si="209"/>
        <v>0</v>
      </c>
      <c r="M126" s="675">
        <f>IF('Kalkulation Herstellungskosten'!C201=0,0,IF(I126/'Kalkulation Herstellungskosten'!C201&gt;SVGrund_lfd_wö,'Kalkulation Herstellungskosten'!C201*Höchst_Woche,I126*SV_lfd))</f>
        <v>0</v>
      </c>
      <c r="N126" s="675">
        <f t="shared" si="210"/>
        <v>0</v>
      </c>
      <c r="O126" s="675">
        <f>IF(I126*10.41%&gt;(0.5833*'Kalkulation Herstellungskosten'!C201*SVGrund_lfd_tä),(0.5833*'Kalkulation Herstellungskosten'!C201*Höchst_Tag),I126*10.41%*SV_lfd)</f>
        <v>0</v>
      </c>
      <c r="P126" s="675">
        <f t="shared" si="211"/>
        <v>0</v>
      </c>
      <c r="Q126" s="675">
        <f t="shared" si="212"/>
        <v>0</v>
      </c>
      <c r="R126" s="675">
        <f t="shared" si="213"/>
        <v>0</v>
      </c>
      <c r="S126" s="675">
        <f t="shared" si="214"/>
        <v>0</v>
      </c>
      <c r="T126" s="675">
        <f t="shared" si="215"/>
        <v>0</v>
      </c>
      <c r="U126" s="675">
        <f>'Kalkulation Herstellungskosten'!C201*U_Bahn</f>
        <v>0</v>
      </c>
      <c r="V126" s="667">
        <f t="shared" si="216"/>
        <v>0</v>
      </c>
      <c r="W126" s="667">
        <f t="shared" si="217"/>
        <v>0</v>
      </c>
      <c r="X126" s="666"/>
      <c r="Y126" s="666"/>
      <c r="Z126" s="666"/>
      <c r="AA126" s="666"/>
      <c r="AB126" s="666"/>
      <c r="AC126" s="666"/>
      <c r="AD126" s="666"/>
      <c r="AE126" s="666"/>
      <c r="AF126" s="666"/>
      <c r="AG126" s="666"/>
      <c r="AH126" s="666"/>
      <c r="AI126" s="666"/>
      <c r="AJ126" s="666"/>
      <c r="AK126" s="666"/>
      <c r="AL126" s="666"/>
      <c r="AM126" s="666"/>
      <c r="AN126" s="666"/>
      <c r="AO126" s="666"/>
      <c r="AP126" s="666"/>
      <c r="AQ126" s="666"/>
      <c r="AR126" s="666"/>
      <c r="AS126" s="666"/>
      <c r="AT126" s="666"/>
      <c r="AU126" s="666"/>
      <c r="AV126" s="666"/>
      <c r="AW126" s="666"/>
      <c r="AX126" s="666"/>
      <c r="AY126" s="666"/>
      <c r="AZ126" s="666"/>
    </row>
    <row r="127" spans="1:52" ht="12.75" customHeight="1" x14ac:dyDescent="0.2">
      <c r="A127" s="706">
        <f>'Kalkulation Herstellungskosten'!B202</f>
        <v>0</v>
      </c>
      <c r="B127" s="694"/>
      <c r="C127" s="87"/>
      <c r="D127" s="87"/>
      <c r="E127" s="704">
        <f t="shared" si="151"/>
        <v>0</v>
      </c>
      <c r="F127" s="88"/>
      <c r="G127" s="702">
        <f t="shared" si="152"/>
        <v>0</v>
      </c>
      <c r="H127" s="699"/>
      <c r="I127" s="674">
        <f>'Kalkulation Herstellungskosten'!G202/((1+1/6)*1.1041)</f>
        <v>0</v>
      </c>
      <c r="J127" s="675">
        <f t="shared" si="207"/>
        <v>0</v>
      </c>
      <c r="K127" s="675">
        <f t="shared" si="208"/>
        <v>0</v>
      </c>
      <c r="L127" s="667">
        <f t="shared" si="209"/>
        <v>0</v>
      </c>
      <c r="M127" s="675">
        <f>IF('Kalkulation Herstellungskosten'!C202=0,0,IF(I127/'Kalkulation Herstellungskosten'!C202&gt;SVGrund_lfd_wö,'Kalkulation Herstellungskosten'!C202*Höchst_Woche,I127*SV_lfd))</f>
        <v>0</v>
      </c>
      <c r="N127" s="675">
        <f t="shared" si="210"/>
        <v>0</v>
      </c>
      <c r="O127" s="675">
        <f>IF(I127*10.41%&gt;(0.5833*'Kalkulation Herstellungskosten'!C202*SVGrund_lfd_tä),(0.5833*'Kalkulation Herstellungskosten'!C202*Höchst_Tag),I127*10.41%*SV_lfd)</f>
        <v>0</v>
      </c>
      <c r="P127" s="675">
        <f t="shared" si="211"/>
        <v>0</v>
      </c>
      <c r="Q127" s="675">
        <f t="shared" si="212"/>
        <v>0</v>
      </c>
      <c r="R127" s="675">
        <f t="shared" si="213"/>
        <v>0</v>
      </c>
      <c r="S127" s="675">
        <f t="shared" si="214"/>
        <v>0</v>
      </c>
      <c r="T127" s="675">
        <f t="shared" si="215"/>
        <v>0</v>
      </c>
      <c r="U127" s="675">
        <f>'Kalkulation Herstellungskosten'!C202*U_Bahn</f>
        <v>0</v>
      </c>
      <c r="V127" s="667">
        <f t="shared" si="216"/>
        <v>0</v>
      </c>
      <c r="W127" s="667">
        <f t="shared" si="217"/>
        <v>0</v>
      </c>
      <c r="X127" s="666"/>
      <c r="Y127" s="666"/>
      <c r="Z127" s="666"/>
      <c r="AA127" s="666"/>
      <c r="AB127" s="666"/>
      <c r="AC127" s="666"/>
      <c r="AD127" s="666"/>
      <c r="AE127" s="666"/>
      <c r="AF127" s="666"/>
      <c r="AG127" s="666"/>
      <c r="AH127" s="666"/>
      <c r="AI127" s="666"/>
      <c r="AJ127" s="666"/>
      <c r="AK127" s="666"/>
      <c r="AL127" s="666"/>
      <c r="AM127" s="666"/>
      <c r="AN127" s="666"/>
      <c r="AO127" s="666"/>
      <c r="AP127" s="666"/>
      <c r="AQ127" s="666"/>
      <c r="AR127" s="666"/>
      <c r="AS127" s="666"/>
      <c r="AT127" s="666"/>
      <c r="AU127" s="666"/>
      <c r="AV127" s="666"/>
      <c r="AW127" s="666"/>
      <c r="AX127" s="666"/>
      <c r="AY127" s="666"/>
      <c r="AZ127" s="666"/>
    </row>
    <row r="128" spans="1:52" ht="12.75" customHeight="1" x14ac:dyDescent="0.2">
      <c r="A128" s="706">
        <f>'Kalkulation Herstellungskosten'!B203</f>
        <v>0</v>
      </c>
      <c r="B128" s="694"/>
      <c r="C128" s="87"/>
      <c r="D128" s="87"/>
      <c r="E128" s="704">
        <f t="shared" si="151"/>
        <v>0</v>
      </c>
      <c r="F128" s="88"/>
      <c r="G128" s="702">
        <f t="shared" si="152"/>
        <v>0</v>
      </c>
      <c r="H128" s="699"/>
      <c r="I128" s="674">
        <f>'Kalkulation Herstellungskosten'!G203/((1+1/6)*1.1041)</f>
        <v>0</v>
      </c>
      <c r="J128" s="675">
        <f t="shared" si="207"/>
        <v>0</v>
      </c>
      <c r="K128" s="675">
        <f t="shared" si="208"/>
        <v>0</v>
      </c>
      <c r="L128" s="667">
        <f t="shared" si="209"/>
        <v>0</v>
      </c>
      <c r="M128" s="675">
        <f>IF('Kalkulation Herstellungskosten'!C203=0,0,IF(I128/'Kalkulation Herstellungskosten'!C203&gt;SVGrund_lfd_wö,'Kalkulation Herstellungskosten'!C203*Höchst_Woche,I128*SV_lfd))</f>
        <v>0</v>
      </c>
      <c r="N128" s="675">
        <f t="shared" si="210"/>
        <v>0</v>
      </c>
      <c r="O128" s="675">
        <f>IF(I128*10.41%&gt;(0.5833*'Kalkulation Herstellungskosten'!C203*SVGrund_lfd_tä),(0.5833*'Kalkulation Herstellungskosten'!C203*Höchst_Tag),I128*10.41%*SV_lfd)</f>
        <v>0</v>
      </c>
      <c r="P128" s="675">
        <f t="shared" si="211"/>
        <v>0</v>
      </c>
      <c r="Q128" s="675">
        <f t="shared" si="212"/>
        <v>0</v>
      </c>
      <c r="R128" s="675">
        <f t="shared" si="213"/>
        <v>0</v>
      </c>
      <c r="S128" s="675">
        <f t="shared" si="214"/>
        <v>0</v>
      </c>
      <c r="T128" s="675">
        <f t="shared" si="215"/>
        <v>0</v>
      </c>
      <c r="U128" s="675">
        <f>'Kalkulation Herstellungskosten'!C203*U_Bahn</f>
        <v>0</v>
      </c>
      <c r="V128" s="667">
        <f t="shared" si="216"/>
        <v>0</v>
      </c>
      <c r="W128" s="667">
        <f t="shared" si="217"/>
        <v>0</v>
      </c>
      <c r="X128" s="666"/>
      <c r="Y128" s="666"/>
      <c r="Z128" s="666"/>
      <c r="AA128" s="666"/>
      <c r="AB128" s="666"/>
      <c r="AC128" s="666"/>
      <c r="AD128" s="666"/>
      <c r="AE128" s="666"/>
      <c r="AF128" s="666"/>
      <c r="AG128" s="666"/>
      <c r="AH128" s="666"/>
      <c r="AI128" s="666"/>
      <c r="AJ128" s="666"/>
      <c r="AK128" s="666"/>
      <c r="AL128" s="666"/>
      <c r="AM128" s="666"/>
      <c r="AN128" s="666"/>
      <c r="AO128" s="666"/>
      <c r="AP128" s="666"/>
      <c r="AQ128" s="666"/>
      <c r="AR128" s="666"/>
      <c r="AS128" s="666"/>
      <c r="AT128" s="666"/>
      <c r="AU128" s="666"/>
      <c r="AV128" s="666"/>
      <c r="AW128" s="666"/>
      <c r="AX128" s="666"/>
      <c r="AY128" s="666"/>
      <c r="AZ128" s="666"/>
    </row>
    <row r="129" spans="1:52" ht="12.75" customHeight="1" x14ac:dyDescent="0.2">
      <c r="A129" s="706">
        <f>'Kalkulation Herstellungskosten'!B204</f>
        <v>0</v>
      </c>
      <c r="B129" s="694"/>
      <c r="C129" s="87"/>
      <c r="D129" s="87"/>
      <c r="E129" s="704">
        <f t="shared" si="151"/>
        <v>0</v>
      </c>
      <c r="F129" s="88"/>
      <c r="G129" s="702">
        <f t="shared" si="152"/>
        <v>0</v>
      </c>
      <c r="H129" s="699"/>
      <c r="I129" s="674">
        <f>'Kalkulation Herstellungskosten'!G204/((1+1/6)*1.1041)</f>
        <v>0</v>
      </c>
      <c r="J129" s="675">
        <f t="shared" si="207"/>
        <v>0</v>
      </c>
      <c r="K129" s="675">
        <f t="shared" si="208"/>
        <v>0</v>
      </c>
      <c r="L129" s="667">
        <f t="shared" si="209"/>
        <v>0</v>
      </c>
      <c r="M129" s="675">
        <f>IF('Kalkulation Herstellungskosten'!C204=0,0,IF(I129/'Kalkulation Herstellungskosten'!C204&gt;SVGrund_lfd_wö,'Kalkulation Herstellungskosten'!C204*Höchst_Woche,I129*SV_lfd))</f>
        <v>0</v>
      </c>
      <c r="N129" s="675">
        <f t="shared" si="210"/>
        <v>0</v>
      </c>
      <c r="O129" s="675">
        <f>IF(I129*10.41%&gt;(0.5833*'Kalkulation Herstellungskosten'!C204*SVGrund_lfd_tä),(0.5833*'Kalkulation Herstellungskosten'!C204*Höchst_Tag),I129*10.41%*SV_lfd)</f>
        <v>0</v>
      </c>
      <c r="P129" s="675">
        <f t="shared" si="211"/>
        <v>0</v>
      </c>
      <c r="Q129" s="675">
        <f t="shared" si="212"/>
        <v>0</v>
      </c>
      <c r="R129" s="675">
        <f t="shared" si="213"/>
        <v>0</v>
      </c>
      <c r="S129" s="675">
        <f t="shared" si="214"/>
        <v>0</v>
      </c>
      <c r="T129" s="675">
        <f t="shared" si="215"/>
        <v>0</v>
      </c>
      <c r="U129" s="675">
        <f>'Kalkulation Herstellungskosten'!C204*U_Bahn</f>
        <v>0</v>
      </c>
      <c r="V129" s="667">
        <f t="shared" si="216"/>
        <v>0</v>
      </c>
      <c r="W129" s="667">
        <f t="shared" si="217"/>
        <v>0</v>
      </c>
      <c r="X129" s="666"/>
      <c r="Y129" s="666"/>
      <c r="Z129" s="666"/>
      <c r="AA129" s="666"/>
      <c r="AB129" s="666"/>
      <c r="AC129" s="666"/>
      <c r="AD129" s="666"/>
      <c r="AE129" s="666"/>
      <c r="AF129" s="666"/>
      <c r="AG129" s="666"/>
      <c r="AH129" s="666"/>
      <c r="AI129" s="666"/>
      <c r="AJ129" s="666"/>
      <c r="AK129" s="666"/>
      <c r="AL129" s="666"/>
      <c r="AM129" s="666"/>
      <c r="AN129" s="666"/>
      <c r="AO129" s="666"/>
      <c r="AP129" s="666"/>
      <c r="AQ129" s="666"/>
      <c r="AR129" s="666"/>
      <c r="AS129" s="666"/>
      <c r="AT129" s="666"/>
      <c r="AU129" s="666"/>
      <c r="AV129" s="666"/>
      <c r="AW129" s="666"/>
      <c r="AX129" s="666"/>
      <c r="AY129" s="666"/>
      <c r="AZ129" s="666"/>
    </row>
    <row r="130" spans="1:52" ht="12.75" customHeight="1" x14ac:dyDescent="0.2">
      <c r="A130" s="708"/>
      <c r="B130" s="669"/>
      <c r="C130" s="669"/>
      <c r="D130" s="669"/>
      <c r="E130" s="669"/>
      <c r="F130" s="669"/>
      <c r="G130" s="700"/>
      <c r="H130" s="700"/>
      <c r="I130" s="676"/>
      <c r="J130" s="514"/>
      <c r="K130" s="514"/>
      <c r="L130" s="676"/>
      <c r="M130" s="514"/>
      <c r="N130" s="514"/>
      <c r="O130" s="514"/>
      <c r="P130" s="514"/>
      <c r="Q130" s="514"/>
      <c r="R130" s="514"/>
      <c r="S130" s="514"/>
      <c r="T130" s="514"/>
      <c r="U130" s="514"/>
      <c r="V130" s="676"/>
      <c r="W130" s="676"/>
      <c r="X130" s="666"/>
      <c r="Y130" s="666"/>
      <c r="Z130" s="666"/>
      <c r="AA130" s="666"/>
      <c r="AB130" s="666"/>
      <c r="AC130" s="666"/>
      <c r="AD130" s="666"/>
      <c r="AE130" s="666"/>
      <c r="AF130" s="666"/>
      <c r="AG130" s="666"/>
      <c r="AH130" s="666"/>
      <c r="AI130" s="666"/>
      <c r="AJ130" s="666"/>
      <c r="AK130" s="666"/>
      <c r="AL130" s="666"/>
      <c r="AM130" s="666"/>
      <c r="AN130" s="666"/>
      <c r="AO130" s="666"/>
      <c r="AP130" s="666"/>
      <c r="AQ130" s="666"/>
      <c r="AR130" s="666"/>
      <c r="AS130" s="666"/>
      <c r="AT130" s="666"/>
      <c r="AU130" s="666"/>
      <c r="AV130" s="666"/>
      <c r="AW130" s="666"/>
      <c r="AX130" s="666"/>
      <c r="AY130" s="666"/>
      <c r="AZ130" s="666"/>
    </row>
    <row r="131" spans="1:52" ht="12.75" customHeight="1" x14ac:dyDescent="0.2">
      <c r="A131" s="65" t="s">
        <v>153</v>
      </c>
      <c r="B131" s="669"/>
      <c r="C131" s="669"/>
      <c r="D131" s="669"/>
      <c r="E131" s="669"/>
      <c r="F131" s="669"/>
      <c r="G131" s="700"/>
      <c r="H131" s="700"/>
      <c r="I131" s="83"/>
      <c r="J131" s="83"/>
      <c r="K131" s="83"/>
      <c r="L131" s="901">
        <f>SUM(L5:L130)</f>
        <v>0</v>
      </c>
      <c r="M131" s="901">
        <f t="shared" ref="M131:P131" si="218">SUM(M5:M130)</f>
        <v>0</v>
      </c>
      <c r="N131" s="901">
        <f t="shared" si="218"/>
        <v>0</v>
      </c>
      <c r="O131" s="901">
        <f t="shared" si="218"/>
        <v>0</v>
      </c>
      <c r="P131" s="901">
        <f t="shared" si="218"/>
        <v>0</v>
      </c>
      <c r="Q131" s="901">
        <f t="shared" ref="Q131" si="219">SUM(Q5:Q130)</f>
        <v>0</v>
      </c>
      <c r="R131" s="901">
        <f t="shared" ref="R131" si="220">SUM(R5:R130)</f>
        <v>0</v>
      </c>
      <c r="S131" s="901">
        <f t="shared" ref="S131" si="221">SUM(S5:S130)</f>
        <v>0</v>
      </c>
      <c r="T131" s="901">
        <f t="shared" ref="T131" si="222">SUM(T5:T130)</f>
        <v>0</v>
      </c>
      <c r="U131" s="901">
        <f t="shared" ref="U131" si="223">SUM(U5:U130)</f>
        <v>0</v>
      </c>
      <c r="V131" s="901">
        <f t="shared" ref="V131" si="224">SUM(V5:V130)</f>
        <v>0</v>
      </c>
      <c r="W131" s="901">
        <f t="shared" ref="W131" si="225">SUM(W5:W130)</f>
        <v>0</v>
      </c>
      <c r="X131" s="676"/>
      <c r="Y131" s="676"/>
      <c r="Z131" s="666"/>
      <c r="AA131" s="666"/>
      <c r="AB131" s="666"/>
      <c r="AC131" s="666"/>
      <c r="AD131" s="666"/>
      <c r="AE131" s="666"/>
      <c r="AF131" s="666"/>
      <c r="AG131" s="666"/>
      <c r="AH131" s="666"/>
      <c r="AI131" s="666"/>
      <c r="AJ131" s="666"/>
      <c r="AK131" s="666"/>
      <c r="AL131" s="666"/>
      <c r="AM131" s="666"/>
      <c r="AN131" s="666"/>
      <c r="AO131" s="666"/>
      <c r="AP131" s="666"/>
      <c r="AQ131" s="666"/>
      <c r="AR131" s="666"/>
      <c r="AS131" s="666"/>
      <c r="AT131" s="666"/>
      <c r="AU131" s="666"/>
      <c r="AV131" s="666"/>
      <c r="AW131" s="666"/>
      <c r="AX131" s="666"/>
      <c r="AY131" s="666"/>
      <c r="AZ131" s="666"/>
    </row>
    <row r="132" spans="1:52" ht="12.75" customHeight="1" x14ac:dyDescent="0.2">
      <c r="A132" s="708"/>
      <c r="B132" s="669"/>
      <c r="C132" s="669"/>
      <c r="D132" s="669"/>
      <c r="E132" s="669"/>
      <c r="F132" s="669"/>
      <c r="G132" s="700"/>
      <c r="H132" s="700"/>
      <c r="I132" s="676"/>
      <c r="J132" s="514"/>
      <c r="K132" s="514"/>
      <c r="L132" s="676"/>
      <c r="M132" s="676"/>
      <c r="N132" s="676"/>
      <c r="O132" s="676"/>
      <c r="P132" s="676"/>
      <c r="Q132" s="676"/>
      <c r="R132" s="676"/>
      <c r="S132" s="676"/>
      <c r="T132" s="676"/>
      <c r="U132" s="676"/>
      <c r="V132" s="676"/>
      <c r="W132" s="676"/>
      <c r="X132" s="676"/>
      <c r="Y132" s="676"/>
      <c r="Z132" s="666"/>
      <c r="AA132" s="666"/>
      <c r="AB132" s="666"/>
      <c r="AC132" s="666"/>
      <c r="AD132" s="666"/>
      <c r="AE132" s="666"/>
      <c r="AF132" s="666"/>
      <c r="AG132" s="666"/>
      <c r="AH132" s="666"/>
      <c r="AI132" s="666"/>
      <c r="AJ132" s="666"/>
      <c r="AK132" s="666"/>
      <c r="AL132" s="666"/>
      <c r="AM132" s="666"/>
      <c r="AN132" s="666"/>
      <c r="AO132" s="666"/>
      <c r="AP132" s="666"/>
      <c r="AQ132" s="666"/>
      <c r="AR132" s="666"/>
      <c r="AS132" s="666"/>
      <c r="AT132" s="666"/>
      <c r="AU132" s="666"/>
      <c r="AV132" s="666"/>
      <c r="AW132" s="666"/>
      <c r="AX132" s="666"/>
      <c r="AY132" s="666"/>
      <c r="AZ132" s="666"/>
    </row>
    <row r="133" spans="1:52" ht="12.75" customHeight="1" x14ac:dyDescent="0.2">
      <c r="A133" s="708"/>
      <c r="B133" s="669"/>
      <c r="C133" s="669"/>
      <c r="D133" s="669"/>
      <c r="E133" s="669"/>
      <c r="F133" s="669"/>
      <c r="G133" s="700"/>
      <c r="H133" s="700"/>
      <c r="I133" s="676"/>
      <c r="J133" s="514"/>
      <c r="K133" s="514"/>
      <c r="L133" s="676"/>
      <c r="M133" s="676"/>
      <c r="N133" s="676"/>
      <c r="O133" s="676"/>
      <c r="P133" s="676"/>
      <c r="Q133" s="676"/>
      <c r="R133" s="676"/>
      <c r="S133" s="676"/>
      <c r="T133" s="676"/>
      <c r="U133" s="676"/>
      <c r="V133" s="676"/>
      <c r="W133" s="676"/>
      <c r="X133" s="666"/>
      <c r="Y133" s="666"/>
      <c r="Z133" s="666"/>
      <c r="AA133" s="666"/>
      <c r="AB133" s="666"/>
      <c r="AC133" s="666"/>
      <c r="AD133" s="666"/>
      <c r="AE133" s="666"/>
      <c r="AF133" s="666"/>
      <c r="AG133" s="666"/>
      <c r="AH133" s="666"/>
      <c r="AI133" s="666"/>
      <c r="AJ133" s="666"/>
      <c r="AK133" s="666"/>
      <c r="AL133" s="666"/>
      <c r="AM133" s="666"/>
      <c r="AN133" s="666"/>
      <c r="AO133" s="666"/>
      <c r="AP133" s="666"/>
      <c r="AQ133" s="666"/>
      <c r="AR133" s="666"/>
      <c r="AS133" s="666"/>
      <c r="AT133" s="666"/>
      <c r="AU133" s="666"/>
      <c r="AV133" s="666"/>
      <c r="AW133" s="666"/>
      <c r="AX133" s="666"/>
      <c r="AY133" s="666"/>
      <c r="AZ133" s="666"/>
    </row>
    <row r="134" spans="1:52" ht="12.75" customHeight="1" x14ac:dyDescent="0.2">
      <c r="A134" s="708"/>
      <c r="B134" s="669"/>
      <c r="C134" s="669"/>
      <c r="D134" s="669"/>
      <c r="E134" s="669"/>
      <c r="F134" s="669"/>
      <c r="G134" s="700"/>
      <c r="H134" s="700"/>
      <c r="I134" s="676"/>
      <c r="J134" s="514"/>
      <c r="K134" s="514"/>
      <c r="L134" s="676"/>
      <c r="M134" s="676"/>
      <c r="N134" s="676"/>
      <c r="O134" s="676"/>
      <c r="P134" s="676"/>
      <c r="Q134" s="676"/>
      <c r="R134" s="676"/>
      <c r="S134" s="676"/>
      <c r="T134" s="676"/>
      <c r="U134" s="676"/>
      <c r="V134" s="676"/>
      <c r="W134" s="676"/>
      <c r="X134" s="666"/>
      <c r="Y134" s="666"/>
      <c r="Z134" s="666"/>
      <c r="AA134" s="666"/>
      <c r="AB134" s="666"/>
      <c r="AC134" s="666"/>
      <c r="AD134" s="666"/>
      <c r="AE134" s="666"/>
      <c r="AF134" s="666"/>
      <c r="AG134" s="666"/>
      <c r="AH134" s="666"/>
      <c r="AI134" s="666"/>
      <c r="AJ134" s="666"/>
      <c r="AK134" s="666"/>
      <c r="AL134" s="666"/>
      <c r="AM134" s="666"/>
      <c r="AN134" s="666"/>
      <c r="AO134" s="666"/>
      <c r="AP134" s="666"/>
      <c r="AQ134" s="666"/>
      <c r="AR134" s="666"/>
      <c r="AS134" s="666"/>
      <c r="AT134" s="666"/>
      <c r="AU134" s="666"/>
      <c r="AV134" s="666"/>
      <c r="AW134" s="666"/>
      <c r="AX134" s="666"/>
      <c r="AY134" s="666"/>
      <c r="AZ134" s="666"/>
    </row>
    <row r="135" spans="1:52" ht="12.75" customHeight="1" x14ac:dyDescent="0.2">
      <c r="A135" s="708"/>
      <c r="B135" s="669"/>
      <c r="C135" s="669"/>
      <c r="D135" s="669"/>
      <c r="E135" s="669"/>
      <c r="F135" s="669"/>
      <c r="G135" s="700"/>
      <c r="H135" s="700"/>
      <c r="I135" s="676"/>
      <c r="J135" s="514"/>
      <c r="K135" s="514"/>
      <c r="L135" s="676"/>
      <c r="M135" s="676"/>
      <c r="N135" s="676"/>
      <c r="O135" s="676"/>
      <c r="P135" s="676"/>
      <c r="Q135" s="676"/>
      <c r="R135" s="676"/>
      <c r="S135" s="676"/>
      <c r="T135" s="676"/>
      <c r="U135" s="676"/>
      <c r="V135" s="676"/>
      <c r="W135" s="676"/>
      <c r="X135" s="666"/>
      <c r="Y135" s="666"/>
      <c r="Z135" s="666"/>
      <c r="AA135" s="666"/>
      <c r="AB135" s="666"/>
      <c r="AC135" s="666"/>
      <c r="AD135" s="666"/>
      <c r="AE135" s="666"/>
      <c r="AF135" s="666"/>
      <c r="AG135" s="666"/>
      <c r="AH135" s="666"/>
      <c r="AI135" s="666"/>
      <c r="AJ135" s="666"/>
      <c r="AK135" s="666"/>
      <c r="AL135" s="666"/>
      <c r="AM135" s="666"/>
      <c r="AN135" s="666"/>
      <c r="AO135" s="666"/>
      <c r="AP135" s="666"/>
      <c r="AQ135" s="666"/>
      <c r="AR135" s="666"/>
      <c r="AS135" s="666"/>
      <c r="AT135" s="666"/>
      <c r="AU135" s="666"/>
      <c r="AV135" s="666"/>
      <c r="AW135" s="666"/>
      <c r="AX135" s="666"/>
      <c r="AY135" s="666"/>
      <c r="AZ135" s="666"/>
    </row>
    <row r="136" spans="1:52" ht="12.75" customHeight="1" x14ac:dyDescent="0.2">
      <c r="A136" s="708"/>
      <c r="B136" s="669"/>
      <c r="C136" s="669"/>
      <c r="D136" s="669"/>
      <c r="E136" s="669"/>
      <c r="F136" s="669"/>
      <c r="G136" s="700"/>
      <c r="H136" s="700"/>
      <c r="I136" s="676"/>
      <c r="J136" s="514"/>
      <c r="K136" s="514"/>
      <c r="L136" s="676"/>
      <c r="M136" s="676"/>
      <c r="N136" s="676"/>
      <c r="O136" s="676"/>
      <c r="P136" s="676"/>
      <c r="Q136" s="676"/>
      <c r="R136" s="676"/>
      <c r="S136" s="676"/>
      <c r="T136" s="676"/>
      <c r="U136" s="676"/>
      <c r="V136" s="676"/>
      <c r="W136" s="676"/>
      <c r="X136" s="666"/>
      <c r="Y136" s="666"/>
      <c r="Z136" s="666"/>
      <c r="AA136" s="666"/>
      <c r="AB136" s="666"/>
      <c r="AC136" s="666"/>
      <c r="AD136" s="666"/>
      <c r="AE136" s="666"/>
      <c r="AF136" s="666"/>
      <c r="AG136" s="666"/>
      <c r="AH136" s="666"/>
      <c r="AI136" s="666"/>
      <c r="AJ136" s="666"/>
      <c r="AK136" s="666"/>
      <c r="AL136" s="666"/>
      <c r="AM136" s="666"/>
      <c r="AN136" s="666"/>
      <c r="AO136" s="666"/>
      <c r="AP136" s="666"/>
      <c r="AQ136" s="666"/>
      <c r="AR136" s="666"/>
      <c r="AS136" s="666"/>
      <c r="AT136" s="666"/>
      <c r="AU136" s="666"/>
      <c r="AV136" s="666"/>
      <c r="AW136" s="666"/>
      <c r="AX136" s="666"/>
      <c r="AY136" s="666"/>
      <c r="AZ136" s="666"/>
    </row>
    <row r="137" spans="1:52" ht="12.75" customHeight="1" x14ac:dyDescent="0.2">
      <c r="A137" s="708"/>
      <c r="B137" s="669"/>
      <c r="C137" s="669"/>
      <c r="D137" s="669"/>
      <c r="E137" s="669"/>
      <c r="F137" s="669"/>
      <c r="G137" s="700"/>
      <c r="H137" s="700"/>
      <c r="I137" s="676"/>
      <c r="J137" s="514"/>
      <c r="K137" s="514"/>
      <c r="L137" s="676"/>
      <c r="M137" s="676"/>
      <c r="N137" s="676"/>
      <c r="O137" s="676"/>
      <c r="P137" s="676"/>
      <c r="Q137" s="676"/>
      <c r="R137" s="676"/>
      <c r="S137" s="676"/>
      <c r="T137" s="676"/>
      <c r="U137" s="676"/>
      <c r="V137" s="676"/>
      <c r="W137" s="676"/>
      <c r="X137" s="666"/>
      <c r="Y137" s="666"/>
      <c r="Z137" s="666"/>
      <c r="AA137" s="666"/>
      <c r="AB137" s="666"/>
      <c r="AC137" s="666"/>
      <c r="AD137" s="666"/>
      <c r="AE137" s="666"/>
      <c r="AF137" s="666"/>
      <c r="AG137" s="666"/>
      <c r="AH137" s="666"/>
      <c r="AI137" s="666"/>
      <c r="AJ137" s="666"/>
      <c r="AK137" s="666"/>
      <c r="AL137" s="666"/>
      <c r="AM137" s="666"/>
      <c r="AN137" s="666"/>
      <c r="AO137" s="666"/>
      <c r="AP137" s="666"/>
      <c r="AQ137" s="666"/>
      <c r="AR137" s="666"/>
      <c r="AS137" s="666"/>
      <c r="AT137" s="666"/>
      <c r="AU137" s="666"/>
      <c r="AV137" s="666"/>
      <c r="AW137" s="666"/>
      <c r="AX137" s="666"/>
      <c r="AY137" s="666"/>
      <c r="AZ137" s="666"/>
    </row>
    <row r="138" spans="1:52" ht="12.75" customHeight="1" x14ac:dyDescent="0.2">
      <c r="A138" s="708"/>
      <c r="B138" s="669"/>
      <c r="C138" s="669"/>
      <c r="D138" s="669"/>
      <c r="E138" s="669"/>
      <c r="F138" s="669"/>
      <c r="G138" s="700"/>
      <c r="H138" s="700"/>
      <c r="I138" s="676"/>
      <c r="J138" s="514"/>
      <c r="K138" s="514"/>
      <c r="L138" s="676"/>
      <c r="M138" s="676"/>
      <c r="N138" s="676"/>
      <c r="O138" s="676"/>
      <c r="P138" s="676"/>
      <c r="Q138" s="676"/>
      <c r="R138" s="676"/>
      <c r="S138" s="676"/>
      <c r="T138" s="676"/>
      <c r="U138" s="676"/>
      <c r="V138" s="676"/>
      <c r="W138" s="676"/>
      <c r="X138" s="666"/>
      <c r="Y138" s="666"/>
      <c r="Z138" s="666"/>
      <c r="AA138" s="666"/>
      <c r="AB138" s="666"/>
      <c r="AC138" s="666"/>
      <c r="AD138" s="666"/>
      <c r="AE138" s="666"/>
      <c r="AF138" s="666"/>
      <c r="AG138" s="666"/>
      <c r="AH138" s="666"/>
      <c r="AI138" s="666"/>
      <c r="AJ138" s="666"/>
      <c r="AK138" s="666"/>
      <c r="AL138" s="666"/>
      <c r="AM138" s="666"/>
      <c r="AN138" s="666"/>
      <c r="AO138" s="666"/>
      <c r="AP138" s="666"/>
      <c r="AQ138" s="666"/>
      <c r="AR138" s="666"/>
      <c r="AS138" s="666"/>
      <c r="AT138" s="666"/>
      <c r="AU138" s="666"/>
      <c r="AV138" s="666"/>
      <c r="AW138" s="666"/>
      <c r="AX138" s="666"/>
      <c r="AY138" s="666"/>
      <c r="AZ138" s="666"/>
    </row>
    <row r="139" spans="1:52" ht="12.75" customHeight="1" x14ac:dyDescent="0.2">
      <c r="A139" s="708"/>
      <c r="B139" s="669"/>
      <c r="C139" s="669"/>
      <c r="D139" s="669"/>
      <c r="E139" s="669"/>
      <c r="F139" s="669"/>
      <c r="G139" s="700"/>
      <c r="H139" s="700"/>
      <c r="I139" s="676"/>
      <c r="J139" s="514"/>
      <c r="K139" s="514"/>
      <c r="L139" s="676"/>
      <c r="M139" s="676"/>
      <c r="N139" s="676"/>
      <c r="O139" s="676"/>
      <c r="P139" s="676"/>
      <c r="Q139" s="676"/>
      <c r="R139" s="676"/>
      <c r="S139" s="676"/>
      <c r="T139" s="676"/>
      <c r="U139" s="676"/>
      <c r="V139" s="676"/>
      <c r="W139" s="676"/>
      <c r="X139" s="666"/>
      <c r="Y139" s="666"/>
      <c r="Z139" s="666"/>
      <c r="AA139" s="666"/>
      <c r="AB139" s="666"/>
      <c r="AC139" s="666"/>
      <c r="AD139" s="666"/>
      <c r="AE139" s="666"/>
      <c r="AF139" s="666"/>
      <c r="AG139" s="666"/>
      <c r="AH139" s="666"/>
      <c r="AI139" s="666"/>
      <c r="AJ139" s="666"/>
      <c r="AK139" s="666"/>
      <c r="AL139" s="666"/>
      <c r="AM139" s="666"/>
      <c r="AN139" s="666"/>
      <c r="AO139" s="666"/>
      <c r="AP139" s="666"/>
      <c r="AQ139" s="666"/>
      <c r="AR139" s="666"/>
      <c r="AS139" s="666"/>
      <c r="AT139" s="666"/>
      <c r="AU139" s="666"/>
      <c r="AV139" s="666"/>
      <c r="AW139" s="666"/>
      <c r="AX139" s="666"/>
      <c r="AY139" s="666"/>
      <c r="AZ139" s="666"/>
    </row>
    <row r="140" spans="1:52" ht="12.75" customHeight="1" x14ac:dyDescent="0.2">
      <c r="A140" s="708"/>
      <c r="B140" s="669"/>
      <c r="C140" s="669"/>
      <c r="D140" s="669"/>
      <c r="E140" s="669"/>
      <c r="F140" s="669"/>
      <c r="G140" s="700"/>
      <c r="H140" s="700"/>
      <c r="I140" s="676"/>
      <c r="J140" s="514"/>
      <c r="K140" s="514"/>
      <c r="L140" s="676"/>
      <c r="M140" s="676"/>
      <c r="N140" s="676"/>
      <c r="O140" s="676"/>
      <c r="P140" s="676"/>
      <c r="Q140" s="676"/>
      <c r="R140" s="676"/>
      <c r="S140" s="676"/>
      <c r="T140" s="676"/>
      <c r="U140" s="676"/>
      <c r="V140" s="676"/>
      <c r="W140" s="676"/>
      <c r="X140" s="666"/>
      <c r="Y140" s="666"/>
      <c r="Z140" s="666"/>
      <c r="AA140" s="666"/>
      <c r="AB140" s="666"/>
      <c r="AC140" s="666"/>
      <c r="AD140" s="666"/>
      <c r="AE140" s="666"/>
      <c r="AF140" s="666"/>
      <c r="AG140" s="666"/>
      <c r="AH140" s="666"/>
      <c r="AI140" s="666"/>
      <c r="AJ140" s="666"/>
      <c r="AK140" s="666"/>
      <c r="AL140" s="666"/>
      <c r="AM140" s="666"/>
      <c r="AN140" s="666"/>
      <c r="AO140" s="666"/>
      <c r="AP140" s="666"/>
      <c r="AQ140" s="666"/>
      <c r="AR140" s="666"/>
      <c r="AS140" s="666"/>
      <c r="AT140" s="666"/>
      <c r="AU140" s="666"/>
      <c r="AV140" s="666"/>
      <c r="AW140" s="666"/>
      <c r="AX140" s="666"/>
      <c r="AY140" s="666"/>
      <c r="AZ140" s="666"/>
    </row>
    <row r="141" spans="1:52" ht="12.75" customHeight="1" x14ac:dyDescent="0.2">
      <c r="A141" s="708"/>
      <c r="B141" s="669"/>
      <c r="C141" s="669"/>
      <c r="D141" s="669"/>
      <c r="E141" s="669"/>
      <c r="F141" s="669"/>
      <c r="G141" s="700"/>
      <c r="H141" s="700"/>
      <c r="I141" s="676"/>
      <c r="J141" s="514"/>
      <c r="K141" s="514"/>
      <c r="L141" s="676"/>
      <c r="M141" s="676"/>
      <c r="N141" s="676"/>
      <c r="O141" s="676"/>
      <c r="P141" s="676"/>
      <c r="Q141" s="676"/>
      <c r="R141" s="676"/>
      <c r="S141" s="676"/>
      <c r="T141" s="676"/>
      <c r="U141" s="676"/>
      <c r="V141" s="676"/>
      <c r="W141" s="676"/>
      <c r="X141" s="676"/>
      <c r="Y141" s="666"/>
      <c r="Z141" s="666"/>
      <c r="AA141" s="666"/>
      <c r="AB141" s="666"/>
      <c r="AC141" s="666"/>
      <c r="AD141" s="666"/>
      <c r="AE141" s="666"/>
      <c r="AF141" s="666"/>
      <c r="AG141" s="666"/>
      <c r="AH141" s="666"/>
      <c r="AI141" s="666"/>
      <c r="AJ141" s="666"/>
      <c r="AK141" s="666"/>
      <c r="AL141" s="666"/>
      <c r="AM141" s="666"/>
      <c r="AN141" s="666"/>
      <c r="AO141" s="666"/>
      <c r="AP141" s="666"/>
      <c r="AQ141" s="666"/>
      <c r="AR141" s="666"/>
      <c r="AS141" s="666"/>
      <c r="AT141" s="666"/>
      <c r="AU141" s="666"/>
      <c r="AV141" s="666"/>
      <c r="AW141" s="666"/>
      <c r="AX141" s="666"/>
      <c r="AY141" s="666"/>
      <c r="AZ141" s="666"/>
    </row>
    <row r="142" spans="1:52" ht="12.75" customHeight="1" x14ac:dyDescent="0.2">
      <c r="A142" s="708"/>
      <c r="B142" s="669"/>
      <c r="C142" s="669"/>
      <c r="D142" s="669"/>
      <c r="E142" s="669"/>
      <c r="F142" s="669"/>
      <c r="G142" s="700"/>
      <c r="H142" s="700"/>
      <c r="I142" s="676"/>
      <c r="J142" s="514"/>
      <c r="K142" s="514"/>
      <c r="L142" s="676"/>
      <c r="M142" s="676"/>
      <c r="N142" s="676"/>
      <c r="O142" s="676"/>
      <c r="P142" s="676"/>
      <c r="Q142" s="676"/>
      <c r="R142" s="676"/>
      <c r="S142" s="676"/>
      <c r="T142" s="676"/>
      <c r="U142" s="676"/>
      <c r="V142" s="676"/>
      <c r="W142" s="676"/>
      <c r="X142" s="666"/>
      <c r="Y142" s="666"/>
      <c r="Z142" s="666"/>
      <c r="AA142" s="666"/>
      <c r="AB142" s="666"/>
      <c r="AC142" s="666"/>
      <c r="AD142" s="666"/>
      <c r="AE142" s="666"/>
      <c r="AF142" s="666"/>
      <c r="AG142" s="666"/>
      <c r="AH142" s="666"/>
      <c r="AI142" s="666"/>
      <c r="AJ142" s="666"/>
      <c r="AK142" s="666"/>
      <c r="AL142" s="666"/>
      <c r="AM142" s="666"/>
      <c r="AN142" s="666"/>
      <c r="AO142" s="666"/>
      <c r="AP142" s="666"/>
      <c r="AQ142" s="666"/>
      <c r="AR142" s="666"/>
      <c r="AS142" s="666"/>
      <c r="AT142" s="666"/>
      <c r="AU142" s="666"/>
      <c r="AV142" s="666"/>
      <c r="AW142" s="666"/>
      <c r="AX142" s="666"/>
      <c r="AY142" s="666"/>
      <c r="AZ142" s="666"/>
    </row>
    <row r="143" spans="1:52" ht="12.75" customHeight="1" x14ac:dyDescent="0.2">
      <c r="A143" s="708"/>
      <c r="B143" s="669"/>
      <c r="C143" s="669"/>
      <c r="D143" s="669"/>
      <c r="E143" s="669"/>
      <c r="F143" s="669"/>
      <c r="G143" s="700"/>
      <c r="H143" s="700"/>
      <c r="I143" s="676"/>
      <c r="J143" s="514"/>
      <c r="K143" s="514"/>
      <c r="L143" s="676"/>
      <c r="M143" s="676"/>
      <c r="N143" s="676"/>
      <c r="O143" s="676"/>
      <c r="P143" s="676"/>
      <c r="Q143" s="676"/>
      <c r="R143" s="676"/>
      <c r="S143" s="676"/>
      <c r="T143" s="676"/>
      <c r="U143" s="676"/>
      <c r="V143" s="676"/>
      <c r="W143" s="676"/>
      <c r="X143" s="666"/>
      <c r="Y143" s="666"/>
      <c r="Z143" s="666"/>
      <c r="AA143" s="666"/>
      <c r="AB143" s="666"/>
      <c r="AC143" s="666"/>
      <c r="AD143" s="666"/>
      <c r="AE143" s="666"/>
      <c r="AF143" s="666"/>
      <c r="AG143" s="666"/>
      <c r="AH143" s="666"/>
      <c r="AI143" s="666"/>
      <c r="AJ143" s="666"/>
      <c r="AK143" s="666"/>
      <c r="AL143" s="666"/>
      <c r="AM143" s="666"/>
      <c r="AN143" s="666"/>
      <c r="AO143" s="666"/>
      <c r="AP143" s="666"/>
      <c r="AQ143" s="666"/>
      <c r="AR143" s="666"/>
      <c r="AS143" s="666"/>
      <c r="AT143" s="666"/>
      <c r="AU143" s="666"/>
      <c r="AV143" s="666"/>
      <c r="AW143" s="666"/>
      <c r="AX143" s="666"/>
      <c r="AY143" s="666"/>
      <c r="AZ143" s="666"/>
    </row>
    <row r="144" spans="1:52" ht="12.75" customHeight="1" x14ac:dyDescent="0.2">
      <c r="A144" s="708"/>
      <c r="B144" s="669"/>
      <c r="C144" s="669"/>
      <c r="D144" s="669"/>
      <c r="E144" s="669"/>
      <c r="F144" s="669"/>
      <c r="G144" s="700"/>
      <c r="H144" s="700"/>
      <c r="I144" s="676"/>
      <c r="J144" s="514"/>
      <c r="K144" s="514"/>
      <c r="L144" s="676"/>
      <c r="M144" s="676"/>
      <c r="N144" s="676"/>
      <c r="O144" s="676"/>
      <c r="P144" s="676"/>
      <c r="Q144" s="676"/>
      <c r="R144" s="676"/>
      <c r="S144" s="676"/>
      <c r="T144" s="676"/>
      <c r="U144" s="676"/>
      <c r="V144" s="676"/>
      <c r="W144" s="676"/>
      <c r="X144" s="666"/>
      <c r="Y144" s="666"/>
      <c r="Z144" s="666"/>
      <c r="AA144" s="666"/>
      <c r="AB144" s="666"/>
      <c r="AC144" s="666"/>
      <c r="AD144" s="666"/>
      <c r="AE144" s="666"/>
      <c r="AF144" s="666"/>
      <c r="AG144" s="666"/>
      <c r="AH144" s="666"/>
      <c r="AI144" s="666"/>
      <c r="AJ144" s="666"/>
      <c r="AK144" s="666"/>
      <c r="AL144" s="666"/>
      <c r="AM144" s="666"/>
      <c r="AN144" s="666"/>
      <c r="AO144" s="666"/>
      <c r="AP144" s="666"/>
      <c r="AQ144" s="666"/>
      <c r="AR144" s="666"/>
      <c r="AS144" s="666"/>
      <c r="AT144" s="666"/>
      <c r="AU144" s="666"/>
      <c r="AV144" s="666"/>
      <c r="AW144" s="666"/>
      <c r="AX144" s="666"/>
      <c r="AY144" s="666"/>
      <c r="AZ144" s="666"/>
    </row>
    <row r="145" spans="1:52" ht="12.75" customHeight="1" x14ac:dyDescent="0.2">
      <c r="A145" s="708"/>
      <c r="B145" s="669"/>
      <c r="C145" s="669"/>
      <c r="D145" s="669"/>
      <c r="E145" s="669"/>
      <c r="F145" s="669"/>
      <c r="G145" s="700"/>
      <c r="H145" s="700"/>
      <c r="I145" s="676"/>
      <c r="J145" s="514"/>
      <c r="K145" s="514"/>
      <c r="L145" s="676"/>
      <c r="M145" s="676"/>
      <c r="N145" s="676"/>
      <c r="O145" s="676"/>
      <c r="P145" s="676"/>
      <c r="Q145" s="676"/>
      <c r="R145" s="676"/>
      <c r="S145" s="676"/>
      <c r="T145" s="676"/>
      <c r="U145" s="676"/>
      <c r="V145" s="676"/>
      <c r="W145" s="676"/>
      <c r="X145" s="666"/>
      <c r="Y145" s="666"/>
      <c r="Z145" s="666"/>
      <c r="AA145" s="666"/>
      <c r="AB145" s="666"/>
      <c r="AC145" s="666"/>
      <c r="AD145" s="666"/>
      <c r="AE145" s="666"/>
      <c r="AF145" s="666"/>
      <c r="AG145" s="666"/>
      <c r="AH145" s="666"/>
      <c r="AI145" s="666"/>
      <c r="AJ145" s="666"/>
      <c r="AK145" s="666"/>
      <c r="AL145" s="666"/>
      <c r="AM145" s="666"/>
      <c r="AN145" s="666"/>
      <c r="AO145" s="666"/>
      <c r="AP145" s="666"/>
      <c r="AQ145" s="666"/>
      <c r="AR145" s="666"/>
      <c r="AS145" s="666"/>
      <c r="AT145" s="666"/>
      <c r="AU145" s="666"/>
      <c r="AV145" s="666"/>
      <c r="AW145" s="666"/>
      <c r="AX145" s="666"/>
      <c r="AY145" s="666"/>
      <c r="AZ145" s="666"/>
    </row>
    <row r="146" spans="1:52" ht="12.75" customHeight="1" x14ac:dyDescent="0.2">
      <c r="A146" s="708"/>
      <c r="B146" s="669"/>
      <c r="C146" s="669"/>
      <c r="D146" s="669"/>
      <c r="E146" s="669"/>
      <c r="F146" s="669"/>
      <c r="G146" s="700"/>
      <c r="H146" s="700"/>
      <c r="I146" s="676"/>
      <c r="J146" s="514"/>
      <c r="K146" s="514"/>
      <c r="L146" s="676"/>
      <c r="M146" s="676"/>
      <c r="N146" s="676"/>
      <c r="O146" s="676"/>
      <c r="P146" s="676"/>
      <c r="Q146" s="676"/>
      <c r="R146" s="676"/>
      <c r="S146" s="676"/>
      <c r="T146" s="676"/>
      <c r="U146" s="676"/>
      <c r="V146" s="676"/>
      <c r="W146" s="676"/>
      <c r="X146" s="666"/>
      <c r="Y146" s="666"/>
      <c r="Z146" s="666"/>
      <c r="AA146" s="666"/>
      <c r="AB146" s="666"/>
      <c r="AC146" s="666"/>
      <c r="AD146" s="666"/>
      <c r="AE146" s="666"/>
      <c r="AF146" s="666"/>
      <c r="AG146" s="666"/>
      <c r="AH146" s="666"/>
      <c r="AI146" s="666"/>
      <c r="AJ146" s="666"/>
      <c r="AK146" s="666"/>
      <c r="AL146" s="666"/>
      <c r="AM146" s="666"/>
      <c r="AN146" s="666"/>
      <c r="AO146" s="666"/>
      <c r="AP146" s="666"/>
      <c r="AQ146" s="666"/>
      <c r="AR146" s="666"/>
      <c r="AS146" s="666"/>
      <c r="AT146" s="666"/>
      <c r="AU146" s="666"/>
      <c r="AV146" s="666"/>
      <c r="AW146" s="666"/>
      <c r="AX146" s="666"/>
      <c r="AY146" s="666"/>
      <c r="AZ146" s="666"/>
    </row>
    <row r="147" spans="1:52" ht="12.75" customHeight="1" x14ac:dyDescent="0.2">
      <c r="A147" s="708"/>
      <c r="B147" s="669"/>
      <c r="C147" s="669"/>
      <c r="D147" s="669"/>
      <c r="E147" s="669"/>
      <c r="F147" s="669"/>
      <c r="G147" s="700"/>
      <c r="H147" s="700"/>
      <c r="I147" s="676"/>
      <c r="J147" s="514"/>
      <c r="K147" s="514"/>
      <c r="L147" s="676"/>
      <c r="M147" s="676"/>
      <c r="N147" s="676"/>
      <c r="O147" s="676"/>
      <c r="P147" s="676"/>
      <c r="Q147" s="676"/>
      <c r="R147" s="676"/>
      <c r="S147" s="676"/>
      <c r="T147" s="676"/>
      <c r="U147" s="676"/>
      <c r="V147" s="676"/>
      <c r="W147" s="676"/>
      <c r="X147" s="666"/>
      <c r="Y147" s="666"/>
      <c r="Z147" s="666"/>
      <c r="AA147" s="666"/>
      <c r="AB147" s="666"/>
      <c r="AC147" s="666"/>
      <c r="AD147" s="666"/>
      <c r="AE147" s="666"/>
      <c r="AF147" s="666"/>
      <c r="AG147" s="666"/>
      <c r="AH147" s="666"/>
      <c r="AI147" s="666"/>
      <c r="AJ147" s="666"/>
      <c r="AK147" s="666"/>
      <c r="AL147" s="666"/>
      <c r="AM147" s="666"/>
      <c r="AN147" s="666"/>
      <c r="AO147" s="666"/>
      <c r="AP147" s="666"/>
      <c r="AQ147" s="666"/>
      <c r="AR147" s="666"/>
      <c r="AS147" s="666"/>
      <c r="AT147" s="666"/>
      <c r="AU147" s="666"/>
      <c r="AV147" s="666"/>
      <c r="AW147" s="666"/>
      <c r="AX147" s="666"/>
      <c r="AY147" s="666"/>
      <c r="AZ147" s="666"/>
    </row>
    <row r="148" spans="1:52" ht="12.75" customHeight="1" x14ac:dyDescent="0.2">
      <c r="A148" s="708"/>
      <c r="B148" s="669"/>
      <c r="C148" s="669"/>
      <c r="D148" s="669"/>
      <c r="E148" s="669"/>
      <c r="F148" s="669"/>
      <c r="G148" s="700"/>
      <c r="H148" s="700"/>
      <c r="I148" s="676"/>
      <c r="J148" s="514"/>
      <c r="K148" s="514"/>
      <c r="L148" s="676"/>
      <c r="M148" s="676"/>
      <c r="N148" s="676"/>
      <c r="O148" s="676"/>
      <c r="P148" s="676"/>
      <c r="Q148" s="676"/>
      <c r="R148" s="676"/>
      <c r="S148" s="676"/>
      <c r="T148" s="676"/>
      <c r="U148" s="676"/>
      <c r="V148" s="676"/>
      <c r="W148" s="676"/>
      <c r="X148" s="666"/>
      <c r="Y148" s="666"/>
      <c r="Z148" s="666"/>
      <c r="AA148" s="666"/>
      <c r="AB148" s="666"/>
      <c r="AC148" s="666"/>
      <c r="AD148" s="666"/>
      <c r="AE148" s="666"/>
      <c r="AF148" s="666"/>
      <c r="AG148" s="666"/>
      <c r="AH148" s="666"/>
      <c r="AI148" s="666"/>
      <c r="AJ148" s="666"/>
      <c r="AK148" s="666"/>
      <c r="AL148" s="666"/>
      <c r="AM148" s="666"/>
      <c r="AN148" s="666"/>
      <c r="AO148" s="666"/>
      <c r="AP148" s="666"/>
      <c r="AQ148" s="666"/>
      <c r="AR148" s="666"/>
      <c r="AS148" s="666"/>
      <c r="AT148" s="666"/>
      <c r="AU148" s="666"/>
      <c r="AV148" s="666"/>
      <c r="AW148" s="666"/>
      <c r="AX148" s="666"/>
      <c r="AY148" s="666"/>
      <c r="AZ148" s="666"/>
    </row>
    <row r="149" spans="1:52" ht="12.75" customHeight="1" x14ac:dyDescent="0.2">
      <c r="A149" s="708"/>
      <c r="B149" s="669"/>
      <c r="C149" s="669"/>
      <c r="D149" s="669"/>
      <c r="E149" s="669"/>
      <c r="F149" s="669"/>
      <c r="G149" s="700"/>
      <c r="H149" s="700"/>
      <c r="I149" s="676"/>
      <c r="J149" s="514"/>
      <c r="K149" s="514"/>
      <c r="L149" s="676"/>
      <c r="M149" s="676"/>
      <c r="N149" s="676"/>
      <c r="O149" s="676"/>
      <c r="P149" s="676"/>
      <c r="Q149" s="676"/>
      <c r="R149" s="676"/>
      <c r="S149" s="676"/>
      <c r="T149" s="676"/>
      <c r="U149" s="676"/>
      <c r="V149" s="676"/>
      <c r="W149" s="676"/>
      <c r="X149" s="666"/>
      <c r="Y149" s="666"/>
      <c r="Z149" s="666"/>
      <c r="AA149" s="666"/>
      <c r="AB149" s="666"/>
      <c r="AC149" s="666"/>
      <c r="AD149" s="666"/>
      <c r="AE149" s="666"/>
      <c r="AF149" s="666"/>
      <c r="AG149" s="666"/>
      <c r="AH149" s="666"/>
      <c r="AI149" s="666"/>
      <c r="AJ149" s="666"/>
      <c r="AK149" s="666"/>
      <c r="AL149" s="666"/>
      <c r="AM149" s="666"/>
      <c r="AN149" s="666"/>
      <c r="AO149" s="666"/>
      <c r="AP149" s="666"/>
      <c r="AQ149" s="666"/>
      <c r="AR149" s="666"/>
      <c r="AS149" s="666"/>
      <c r="AT149" s="666"/>
      <c r="AU149" s="666"/>
      <c r="AV149" s="666"/>
      <c r="AW149" s="666"/>
      <c r="AX149" s="666"/>
      <c r="AY149" s="666"/>
      <c r="AZ149" s="666"/>
    </row>
    <row r="150" spans="1:52" ht="12.75" customHeight="1" x14ac:dyDescent="0.2">
      <c r="A150" s="708"/>
      <c r="B150" s="669"/>
      <c r="C150" s="669"/>
      <c r="D150" s="669"/>
      <c r="E150" s="669"/>
      <c r="F150" s="669"/>
      <c r="G150" s="700"/>
      <c r="H150" s="700"/>
      <c r="I150" s="676"/>
      <c r="J150" s="514"/>
      <c r="K150" s="514"/>
      <c r="L150" s="676"/>
      <c r="M150" s="676"/>
      <c r="N150" s="676"/>
      <c r="O150" s="676"/>
      <c r="P150" s="676"/>
      <c r="Q150" s="676"/>
      <c r="R150" s="676"/>
      <c r="S150" s="676"/>
      <c r="T150" s="676"/>
      <c r="U150" s="676"/>
      <c r="V150" s="676"/>
      <c r="W150" s="676"/>
      <c r="X150" s="666"/>
      <c r="Y150" s="666"/>
      <c r="Z150" s="666"/>
      <c r="AA150" s="666"/>
      <c r="AB150" s="666"/>
      <c r="AC150" s="666"/>
      <c r="AD150" s="666"/>
      <c r="AE150" s="666"/>
      <c r="AF150" s="666"/>
      <c r="AG150" s="666"/>
      <c r="AH150" s="666"/>
      <c r="AI150" s="666"/>
      <c r="AJ150" s="666"/>
      <c r="AK150" s="666"/>
      <c r="AL150" s="666"/>
      <c r="AM150" s="666"/>
      <c r="AN150" s="666"/>
      <c r="AO150" s="666"/>
      <c r="AP150" s="666"/>
      <c r="AQ150" s="666"/>
      <c r="AR150" s="666"/>
      <c r="AS150" s="666"/>
      <c r="AT150" s="666"/>
      <c r="AU150" s="666"/>
      <c r="AV150" s="666"/>
      <c r="AW150" s="666"/>
      <c r="AX150" s="666"/>
      <c r="AY150" s="666"/>
      <c r="AZ150" s="666"/>
    </row>
    <row r="151" spans="1:52" ht="12.75" customHeight="1" x14ac:dyDescent="0.2">
      <c r="A151" s="708"/>
      <c r="B151" s="669"/>
      <c r="C151" s="669"/>
      <c r="D151" s="669"/>
      <c r="E151" s="669"/>
      <c r="F151" s="669"/>
      <c r="G151" s="700"/>
      <c r="H151" s="700"/>
      <c r="I151" s="676"/>
      <c r="J151" s="514"/>
      <c r="K151" s="514"/>
      <c r="L151" s="676"/>
      <c r="M151" s="676"/>
      <c r="N151" s="676"/>
      <c r="O151" s="676"/>
      <c r="P151" s="676"/>
      <c r="Q151" s="676"/>
      <c r="R151" s="676"/>
      <c r="S151" s="676"/>
      <c r="T151" s="676"/>
      <c r="U151" s="676"/>
      <c r="V151" s="676"/>
      <c r="W151" s="676"/>
      <c r="X151" s="666"/>
      <c r="Y151" s="666"/>
      <c r="Z151" s="666"/>
      <c r="AA151" s="666"/>
      <c r="AB151" s="666"/>
      <c r="AC151" s="666"/>
      <c r="AD151" s="666"/>
      <c r="AE151" s="666"/>
      <c r="AF151" s="666"/>
      <c r="AG151" s="666"/>
      <c r="AH151" s="666"/>
      <c r="AI151" s="666"/>
      <c r="AJ151" s="666"/>
      <c r="AK151" s="666"/>
      <c r="AL151" s="666"/>
      <c r="AM151" s="666"/>
      <c r="AN151" s="666"/>
      <c r="AO151" s="666"/>
      <c r="AP151" s="666"/>
      <c r="AQ151" s="666"/>
      <c r="AR151" s="666"/>
      <c r="AS151" s="666"/>
      <c r="AT151" s="666"/>
      <c r="AU151" s="666"/>
      <c r="AV151" s="666"/>
      <c r="AW151" s="666"/>
      <c r="AX151" s="666"/>
      <c r="AY151" s="666"/>
      <c r="AZ151" s="666"/>
    </row>
    <row r="152" spans="1:52" ht="12.75" customHeight="1" x14ac:dyDescent="0.2">
      <c r="A152" s="708"/>
      <c r="B152" s="669"/>
      <c r="C152" s="669"/>
      <c r="D152" s="669"/>
      <c r="E152" s="669"/>
      <c r="F152" s="669"/>
      <c r="G152" s="700"/>
      <c r="H152" s="700"/>
      <c r="I152" s="676"/>
      <c r="J152" s="514"/>
      <c r="K152" s="514"/>
      <c r="L152" s="676"/>
      <c r="M152" s="676"/>
      <c r="N152" s="676"/>
      <c r="O152" s="676"/>
      <c r="P152" s="676"/>
      <c r="Q152" s="676"/>
      <c r="R152" s="676"/>
      <c r="S152" s="676"/>
      <c r="T152" s="676"/>
      <c r="U152" s="676"/>
      <c r="V152" s="676"/>
      <c r="W152" s="676"/>
      <c r="X152" s="666"/>
      <c r="Y152" s="666"/>
      <c r="Z152" s="666"/>
      <c r="AA152" s="666"/>
      <c r="AB152" s="666"/>
      <c r="AC152" s="666"/>
      <c r="AD152" s="666"/>
      <c r="AE152" s="666"/>
      <c r="AF152" s="666"/>
      <c r="AG152" s="666"/>
      <c r="AH152" s="666"/>
      <c r="AI152" s="666"/>
      <c r="AJ152" s="666"/>
      <c r="AK152" s="666"/>
      <c r="AL152" s="666"/>
      <c r="AM152" s="666"/>
      <c r="AN152" s="666"/>
      <c r="AO152" s="666"/>
      <c r="AP152" s="666"/>
      <c r="AQ152" s="666"/>
      <c r="AR152" s="666"/>
      <c r="AS152" s="666"/>
      <c r="AT152" s="666"/>
      <c r="AU152" s="666"/>
      <c r="AV152" s="666"/>
      <c r="AW152" s="666"/>
      <c r="AX152" s="666"/>
      <c r="AY152" s="666"/>
      <c r="AZ152" s="666"/>
    </row>
    <row r="153" spans="1:52" ht="12.75" customHeight="1" x14ac:dyDescent="0.2">
      <c r="A153" s="708"/>
      <c r="B153" s="669"/>
      <c r="C153" s="669"/>
      <c r="D153" s="669"/>
      <c r="E153" s="669"/>
      <c r="F153" s="669"/>
      <c r="G153" s="700"/>
      <c r="H153" s="700"/>
      <c r="I153" s="676"/>
      <c r="J153" s="514"/>
      <c r="K153" s="514"/>
      <c r="L153" s="676"/>
      <c r="M153" s="676"/>
      <c r="N153" s="676"/>
      <c r="O153" s="676"/>
      <c r="P153" s="676"/>
      <c r="Q153" s="676"/>
      <c r="R153" s="676"/>
      <c r="S153" s="676"/>
      <c r="T153" s="676"/>
      <c r="U153" s="676"/>
      <c r="V153" s="676"/>
      <c r="W153" s="676"/>
      <c r="X153" s="666"/>
      <c r="Y153" s="666"/>
      <c r="Z153" s="666"/>
      <c r="AA153" s="666"/>
      <c r="AB153" s="666"/>
      <c r="AC153" s="666"/>
      <c r="AD153" s="666"/>
      <c r="AE153" s="666"/>
      <c r="AF153" s="666"/>
      <c r="AG153" s="666"/>
      <c r="AH153" s="666"/>
      <c r="AI153" s="666"/>
      <c r="AJ153" s="666"/>
      <c r="AK153" s="666"/>
      <c r="AL153" s="666"/>
      <c r="AM153" s="666"/>
      <c r="AN153" s="666"/>
      <c r="AO153" s="666"/>
      <c r="AP153" s="666"/>
      <c r="AQ153" s="666"/>
      <c r="AR153" s="666"/>
      <c r="AS153" s="666"/>
      <c r="AT153" s="666"/>
      <c r="AU153" s="666"/>
      <c r="AV153" s="666"/>
      <c r="AW153" s="666"/>
      <c r="AX153" s="666"/>
      <c r="AY153" s="666"/>
      <c r="AZ153" s="666"/>
    </row>
    <row r="154" spans="1:52" ht="12.75" customHeight="1" x14ac:dyDescent="0.2">
      <c r="A154" s="708"/>
      <c r="B154" s="669"/>
      <c r="C154" s="669"/>
      <c r="D154" s="669"/>
      <c r="E154" s="669"/>
      <c r="F154" s="669"/>
      <c r="G154" s="700"/>
      <c r="H154" s="700"/>
      <c r="I154" s="676"/>
      <c r="J154" s="514"/>
      <c r="K154" s="514"/>
      <c r="L154" s="676"/>
      <c r="M154" s="676"/>
      <c r="N154" s="676"/>
      <c r="O154" s="676"/>
      <c r="P154" s="676"/>
      <c r="Q154" s="676"/>
      <c r="R154" s="676"/>
      <c r="S154" s="676"/>
      <c r="T154" s="676"/>
      <c r="U154" s="676"/>
      <c r="V154" s="676"/>
      <c r="W154" s="676"/>
      <c r="X154" s="666"/>
      <c r="Y154" s="666"/>
      <c r="Z154" s="666"/>
      <c r="AA154" s="666"/>
      <c r="AB154" s="666"/>
      <c r="AC154" s="666"/>
      <c r="AD154" s="666"/>
      <c r="AE154" s="666"/>
      <c r="AF154" s="666"/>
      <c r="AG154" s="666"/>
      <c r="AH154" s="666"/>
      <c r="AI154" s="666"/>
      <c r="AJ154" s="666"/>
      <c r="AK154" s="666"/>
      <c r="AL154" s="666"/>
      <c r="AM154" s="666"/>
      <c r="AN154" s="666"/>
      <c r="AO154" s="666"/>
      <c r="AP154" s="666"/>
      <c r="AQ154" s="666"/>
      <c r="AR154" s="666"/>
      <c r="AS154" s="666"/>
      <c r="AT154" s="666"/>
      <c r="AU154" s="666"/>
      <c r="AV154" s="666"/>
      <c r="AW154" s="666"/>
      <c r="AX154" s="666"/>
      <c r="AY154" s="666"/>
      <c r="AZ154" s="666"/>
    </row>
    <row r="155" spans="1:52" ht="12.75" customHeight="1" x14ac:dyDescent="0.2">
      <c r="A155" s="708"/>
      <c r="B155" s="669"/>
      <c r="C155" s="669"/>
      <c r="D155" s="669"/>
      <c r="E155" s="669"/>
      <c r="F155" s="669"/>
      <c r="G155" s="700"/>
      <c r="H155" s="700"/>
      <c r="I155" s="676"/>
      <c r="J155" s="514"/>
      <c r="K155" s="514"/>
      <c r="L155" s="676"/>
      <c r="M155" s="676"/>
      <c r="N155" s="676"/>
      <c r="O155" s="676"/>
      <c r="P155" s="676"/>
      <c r="Q155" s="676"/>
      <c r="R155" s="676"/>
      <c r="S155" s="676"/>
      <c r="T155" s="676"/>
      <c r="U155" s="676"/>
      <c r="V155" s="676"/>
      <c r="W155" s="676"/>
      <c r="X155" s="666"/>
      <c r="Y155" s="666"/>
      <c r="Z155" s="666"/>
      <c r="AA155" s="666"/>
      <c r="AB155" s="666"/>
      <c r="AC155" s="666"/>
      <c r="AD155" s="666"/>
      <c r="AE155" s="666"/>
      <c r="AF155" s="666"/>
      <c r="AG155" s="666"/>
      <c r="AH155" s="666"/>
      <c r="AI155" s="666"/>
      <c r="AJ155" s="666"/>
      <c r="AK155" s="666"/>
      <c r="AL155" s="666"/>
      <c r="AM155" s="666"/>
      <c r="AN155" s="666"/>
      <c r="AO155" s="666"/>
      <c r="AP155" s="666"/>
      <c r="AQ155" s="666"/>
      <c r="AR155" s="666"/>
      <c r="AS155" s="666"/>
      <c r="AT155" s="666"/>
      <c r="AU155" s="666"/>
      <c r="AV155" s="666"/>
      <c r="AW155" s="666"/>
      <c r="AX155" s="666"/>
      <c r="AY155" s="666"/>
      <c r="AZ155" s="666"/>
    </row>
    <row r="156" spans="1:52" ht="12.75" customHeight="1" x14ac:dyDescent="0.2">
      <c r="A156" s="708"/>
      <c r="B156" s="669"/>
      <c r="C156" s="669"/>
      <c r="D156" s="669"/>
      <c r="E156" s="669"/>
      <c r="F156" s="669"/>
      <c r="G156" s="700"/>
      <c r="H156" s="700"/>
      <c r="I156" s="676"/>
      <c r="J156" s="514"/>
      <c r="K156" s="514"/>
      <c r="L156" s="676"/>
      <c r="M156" s="676"/>
      <c r="N156" s="676"/>
      <c r="O156" s="676"/>
      <c r="P156" s="676"/>
      <c r="Q156" s="676"/>
      <c r="R156" s="676"/>
      <c r="S156" s="676"/>
      <c r="T156" s="676"/>
      <c r="U156" s="676"/>
      <c r="V156" s="676"/>
      <c r="W156" s="676"/>
      <c r="X156" s="666"/>
      <c r="Y156" s="666"/>
      <c r="Z156" s="666"/>
      <c r="AA156" s="666"/>
      <c r="AB156" s="666"/>
      <c r="AC156" s="666"/>
      <c r="AD156" s="666"/>
      <c r="AE156" s="666"/>
      <c r="AF156" s="666"/>
      <c r="AG156" s="666"/>
      <c r="AH156" s="666"/>
      <c r="AI156" s="666"/>
      <c r="AJ156" s="666"/>
      <c r="AK156" s="666"/>
      <c r="AL156" s="666"/>
      <c r="AM156" s="666"/>
      <c r="AN156" s="666"/>
      <c r="AO156" s="666"/>
      <c r="AP156" s="666"/>
      <c r="AQ156" s="666"/>
      <c r="AR156" s="666"/>
      <c r="AS156" s="666"/>
      <c r="AT156" s="666"/>
      <c r="AU156" s="666"/>
      <c r="AV156" s="666"/>
      <c r="AW156" s="666"/>
      <c r="AX156" s="666"/>
      <c r="AY156" s="666"/>
      <c r="AZ156" s="666"/>
    </row>
    <row r="157" spans="1:52" ht="12.75" customHeight="1" x14ac:dyDescent="0.2">
      <c r="A157" s="708"/>
      <c r="B157" s="669"/>
      <c r="C157" s="669"/>
      <c r="D157" s="669"/>
      <c r="E157" s="669"/>
      <c r="F157" s="669"/>
      <c r="G157" s="700"/>
      <c r="H157" s="700"/>
      <c r="I157" s="676"/>
      <c r="J157" s="514"/>
      <c r="K157" s="514"/>
      <c r="L157" s="676"/>
      <c r="M157" s="676"/>
      <c r="N157" s="676"/>
      <c r="O157" s="676"/>
      <c r="P157" s="676"/>
      <c r="Q157" s="676"/>
      <c r="R157" s="676"/>
      <c r="S157" s="676"/>
      <c r="T157" s="676"/>
      <c r="U157" s="676"/>
      <c r="V157" s="676"/>
      <c r="W157" s="676"/>
      <c r="X157" s="666"/>
      <c r="Y157" s="666"/>
      <c r="Z157" s="666"/>
      <c r="AA157" s="666"/>
      <c r="AB157" s="666"/>
      <c r="AC157" s="666"/>
      <c r="AD157" s="666"/>
      <c r="AE157" s="666"/>
      <c r="AF157" s="666"/>
      <c r="AG157" s="666"/>
      <c r="AH157" s="666"/>
      <c r="AI157" s="666"/>
      <c r="AJ157" s="666"/>
      <c r="AK157" s="666"/>
      <c r="AL157" s="666"/>
      <c r="AM157" s="666"/>
      <c r="AN157" s="666"/>
      <c r="AO157" s="666"/>
      <c r="AP157" s="666"/>
      <c r="AQ157" s="666"/>
      <c r="AR157" s="666"/>
      <c r="AS157" s="666"/>
      <c r="AT157" s="666"/>
      <c r="AU157" s="666"/>
      <c r="AV157" s="666"/>
      <c r="AW157" s="666"/>
      <c r="AX157" s="666"/>
      <c r="AY157" s="666"/>
      <c r="AZ157" s="666"/>
    </row>
    <row r="158" spans="1:52" ht="12.75" customHeight="1" x14ac:dyDescent="0.2">
      <c r="A158" s="708"/>
      <c r="B158" s="669"/>
      <c r="C158" s="669"/>
      <c r="D158" s="669"/>
      <c r="E158" s="669"/>
      <c r="F158" s="669"/>
      <c r="G158" s="700"/>
      <c r="H158" s="700"/>
      <c r="I158" s="676"/>
      <c r="J158" s="514"/>
      <c r="K158" s="514"/>
      <c r="L158" s="676"/>
      <c r="M158" s="676"/>
      <c r="N158" s="676"/>
      <c r="O158" s="676"/>
      <c r="P158" s="676"/>
      <c r="Q158" s="676"/>
      <c r="R158" s="676"/>
      <c r="S158" s="676"/>
      <c r="T158" s="676"/>
      <c r="U158" s="676"/>
      <c r="V158" s="676"/>
      <c r="W158" s="676"/>
      <c r="X158" s="666"/>
      <c r="Y158" s="666"/>
      <c r="Z158" s="666"/>
      <c r="AA158" s="666"/>
      <c r="AB158" s="666"/>
      <c r="AC158" s="666"/>
      <c r="AD158" s="666"/>
      <c r="AE158" s="666"/>
      <c r="AF158" s="666"/>
      <c r="AG158" s="666"/>
      <c r="AH158" s="666"/>
      <c r="AI158" s="666"/>
      <c r="AJ158" s="666"/>
      <c r="AK158" s="666"/>
      <c r="AL158" s="666"/>
      <c r="AM158" s="666"/>
      <c r="AN158" s="666"/>
      <c r="AO158" s="666"/>
      <c r="AP158" s="666"/>
      <c r="AQ158" s="666"/>
      <c r="AR158" s="666"/>
      <c r="AS158" s="666"/>
      <c r="AT158" s="666"/>
      <c r="AU158" s="666"/>
      <c r="AV158" s="666"/>
      <c r="AW158" s="666"/>
      <c r="AX158" s="666"/>
      <c r="AY158" s="666"/>
      <c r="AZ158" s="666"/>
    </row>
    <row r="159" spans="1:52" ht="12.75" customHeight="1" x14ac:dyDescent="0.2">
      <c r="A159" s="708"/>
      <c r="B159" s="669"/>
      <c r="C159" s="669"/>
      <c r="D159" s="669"/>
      <c r="E159" s="669"/>
      <c r="F159" s="669"/>
      <c r="G159" s="700"/>
      <c r="H159" s="700"/>
      <c r="I159" s="676"/>
      <c r="J159" s="514"/>
      <c r="K159" s="514"/>
      <c r="L159" s="676"/>
      <c r="M159" s="676"/>
      <c r="N159" s="676"/>
      <c r="O159" s="676"/>
      <c r="P159" s="676"/>
      <c r="Q159" s="676"/>
      <c r="R159" s="676"/>
      <c r="S159" s="676"/>
      <c r="T159" s="676"/>
      <c r="U159" s="676"/>
      <c r="V159" s="676"/>
      <c r="W159" s="676"/>
      <c r="X159" s="666"/>
      <c r="Y159" s="666"/>
      <c r="Z159" s="666"/>
      <c r="AA159" s="666"/>
      <c r="AB159" s="666"/>
      <c r="AC159" s="666"/>
      <c r="AD159" s="666"/>
      <c r="AE159" s="666"/>
      <c r="AF159" s="666"/>
      <c r="AG159" s="666"/>
      <c r="AH159" s="666"/>
      <c r="AI159" s="666"/>
      <c r="AJ159" s="666"/>
      <c r="AK159" s="666"/>
      <c r="AL159" s="666"/>
      <c r="AM159" s="666"/>
      <c r="AN159" s="666"/>
      <c r="AO159" s="666"/>
      <c r="AP159" s="666"/>
      <c r="AQ159" s="666"/>
      <c r="AR159" s="666"/>
      <c r="AS159" s="666"/>
      <c r="AT159" s="666"/>
      <c r="AU159" s="666"/>
      <c r="AV159" s="666"/>
      <c r="AW159" s="666"/>
      <c r="AX159" s="666"/>
      <c r="AY159" s="666"/>
      <c r="AZ159" s="666"/>
    </row>
    <row r="160" spans="1:52" ht="12.75" customHeight="1" x14ac:dyDescent="0.2">
      <c r="A160" s="708"/>
      <c r="B160" s="669"/>
      <c r="C160" s="669"/>
      <c r="D160" s="669"/>
      <c r="E160" s="669"/>
      <c r="F160" s="669"/>
      <c r="G160" s="700"/>
      <c r="H160" s="700"/>
      <c r="I160" s="676"/>
      <c r="J160" s="514"/>
      <c r="K160" s="514"/>
      <c r="L160" s="676"/>
      <c r="M160" s="676"/>
      <c r="N160" s="676"/>
      <c r="O160" s="676"/>
      <c r="P160" s="676"/>
      <c r="Q160" s="676"/>
      <c r="R160" s="676"/>
      <c r="S160" s="676"/>
      <c r="T160" s="676"/>
      <c r="U160" s="676"/>
      <c r="V160" s="676"/>
      <c r="W160" s="676"/>
      <c r="X160" s="666"/>
      <c r="Y160" s="666"/>
      <c r="Z160" s="666"/>
      <c r="AA160" s="666"/>
      <c r="AB160" s="666"/>
      <c r="AC160" s="666"/>
      <c r="AD160" s="666"/>
      <c r="AE160" s="666"/>
      <c r="AF160" s="666"/>
      <c r="AG160" s="666"/>
      <c r="AH160" s="666"/>
      <c r="AI160" s="666"/>
      <c r="AJ160" s="666"/>
      <c r="AK160" s="666"/>
      <c r="AL160" s="666"/>
      <c r="AM160" s="666"/>
      <c r="AN160" s="666"/>
      <c r="AO160" s="666"/>
      <c r="AP160" s="666"/>
      <c r="AQ160" s="666"/>
      <c r="AR160" s="666"/>
      <c r="AS160" s="666"/>
      <c r="AT160" s="666"/>
      <c r="AU160" s="666"/>
      <c r="AV160" s="666"/>
      <c r="AW160" s="666"/>
      <c r="AX160" s="666"/>
      <c r="AY160" s="666"/>
      <c r="AZ160" s="666"/>
    </row>
    <row r="161" spans="1:52" ht="12.75" customHeight="1" x14ac:dyDescent="0.2">
      <c r="A161" s="708"/>
      <c r="B161" s="669"/>
      <c r="C161" s="669"/>
      <c r="D161" s="669"/>
      <c r="E161" s="669"/>
      <c r="F161" s="669"/>
      <c r="G161" s="700"/>
      <c r="H161" s="700"/>
      <c r="I161" s="676"/>
      <c r="J161" s="514"/>
      <c r="K161" s="514"/>
      <c r="L161" s="676"/>
      <c r="M161" s="676"/>
      <c r="N161" s="676"/>
      <c r="O161" s="676"/>
      <c r="P161" s="676"/>
      <c r="Q161" s="676"/>
      <c r="R161" s="676"/>
      <c r="S161" s="676"/>
      <c r="T161" s="676"/>
      <c r="U161" s="676"/>
      <c r="V161" s="676"/>
      <c r="W161" s="676"/>
      <c r="X161" s="666"/>
      <c r="Y161" s="666"/>
      <c r="Z161" s="666"/>
      <c r="AA161" s="666"/>
      <c r="AB161" s="666"/>
      <c r="AC161" s="666"/>
      <c r="AD161" s="666"/>
      <c r="AE161" s="666"/>
      <c r="AF161" s="666"/>
      <c r="AG161" s="666"/>
      <c r="AH161" s="666"/>
      <c r="AI161" s="666"/>
      <c r="AJ161" s="666"/>
      <c r="AK161" s="666"/>
      <c r="AL161" s="666"/>
      <c r="AM161" s="666"/>
      <c r="AN161" s="666"/>
      <c r="AO161" s="666"/>
      <c r="AP161" s="666"/>
      <c r="AQ161" s="666"/>
      <c r="AR161" s="666"/>
      <c r="AS161" s="666"/>
      <c r="AT161" s="666"/>
      <c r="AU161" s="666"/>
      <c r="AV161" s="666"/>
      <c r="AW161" s="666"/>
      <c r="AX161" s="666"/>
      <c r="AY161" s="666"/>
      <c r="AZ161" s="666"/>
    </row>
    <row r="162" spans="1:52" ht="12.75" customHeight="1" x14ac:dyDescent="0.2">
      <c r="A162" s="708"/>
      <c r="B162" s="669"/>
      <c r="C162" s="669"/>
      <c r="D162" s="669"/>
      <c r="E162" s="669"/>
      <c r="F162" s="669"/>
      <c r="G162" s="700"/>
      <c r="H162" s="700"/>
      <c r="I162" s="676"/>
      <c r="J162" s="514"/>
      <c r="K162" s="514"/>
      <c r="L162" s="676"/>
      <c r="M162" s="676"/>
      <c r="N162" s="676"/>
      <c r="O162" s="676"/>
      <c r="P162" s="676"/>
      <c r="Q162" s="676"/>
      <c r="R162" s="676"/>
      <c r="S162" s="676"/>
      <c r="T162" s="676"/>
      <c r="U162" s="676"/>
      <c r="V162" s="676"/>
      <c r="W162" s="676"/>
      <c r="X162" s="666"/>
      <c r="Y162" s="666"/>
      <c r="Z162" s="666"/>
      <c r="AA162" s="666"/>
      <c r="AB162" s="666"/>
      <c r="AC162" s="666"/>
      <c r="AD162" s="666"/>
      <c r="AE162" s="666"/>
      <c r="AF162" s="666"/>
      <c r="AG162" s="666"/>
      <c r="AH162" s="666"/>
      <c r="AI162" s="666"/>
      <c r="AJ162" s="666"/>
      <c r="AK162" s="666"/>
      <c r="AL162" s="666"/>
      <c r="AM162" s="666"/>
      <c r="AN162" s="666"/>
      <c r="AO162" s="666"/>
      <c r="AP162" s="666"/>
      <c r="AQ162" s="666"/>
      <c r="AR162" s="666"/>
      <c r="AS162" s="666"/>
      <c r="AT162" s="666"/>
      <c r="AU162" s="666"/>
      <c r="AV162" s="666"/>
      <c r="AW162" s="666"/>
      <c r="AX162" s="666"/>
      <c r="AY162" s="666"/>
      <c r="AZ162" s="666"/>
    </row>
    <row r="163" spans="1:52" ht="12.75" customHeight="1" x14ac:dyDescent="0.2">
      <c r="A163" s="708"/>
      <c r="B163" s="669"/>
      <c r="C163" s="669"/>
      <c r="D163" s="669"/>
      <c r="E163" s="669"/>
      <c r="F163" s="669"/>
      <c r="G163" s="700"/>
      <c r="H163" s="700"/>
      <c r="I163" s="676"/>
      <c r="J163" s="514"/>
      <c r="K163" s="514"/>
      <c r="L163" s="676"/>
      <c r="M163" s="676"/>
      <c r="N163" s="676"/>
      <c r="O163" s="676"/>
      <c r="P163" s="676"/>
      <c r="Q163" s="676"/>
      <c r="R163" s="676"/>
      <c r="S163" s="676"/>
      <c r="T163" s="676"/>
      <c r="U163" s="676"/>
      <c r="V163" s="676"/>
      <c r="W163" s="676"/>
      <c r="X163" s="666"/>
      <c r="Y163" s="666"/>
      <c r="Z163" s="666"/>
      <c r="AA163" s="666"/>
      <c r="AB163" s="666"/>
      <c r="AC163" s="666"/>
      <c r="AD163" s="666"/>
      <c r="AE163" s="666"/>
      <c r="AF163" s="666"/>
      <c r="AG163" s="666"/>
      <c r="AH163" s="666"/>
      <c r="AI163" s="666"/>
      <c r="AJ163" s="666"/>
      <c r="AK163" s="666"/>
      <c r="AL163" s="666"/>
      <c r="AM163" s="666"/>
      <c r="AN163" s="666"/>
      <c r="AO163" s="666"/>
      <c r="AP163" s="666"/>
      <c r="AQ163" s="666"/>
      <c r="AR163" s="666"/>
      <c r="AS163" s="666"/>
      <c r="AT163" s="666"/>
      <c r="AU163" s="666"/>
      <c r="AV163" s="666"/>
      <c r="AW163" s="666"/>
      <c r="AX163" s="666"/>
      <c r="AY163" s="666"/>
      <c r="AZ163" s="666"/>
    </row>
    <row r="164" spans="1:52" ht="12.75" customHeight="1" x14ac:dyDescent="0.2">
      <c r="A164" s="708"/>
      <c r="B164" s="669"/>
      <c r="C164" s="669"/>
      <c r="D164" s="669"/>
      <c r="E164" s="669"/>
      <c r="F164" s="669"/>
      <c r="G164" s="700"/>
      <c r="H164" s="700"/>
      <c r="I164" s="676"/>
      <c r="J164" s="514"/>
      <c r="K164" s="514"/>
      <c r="L164" s="676"/>
      <c r="M164" s="676"/>
      <c r="N164" s="676"/>
      <c r="O164" s="676"/>
      <c r="P164" s="676"/>
      <c r="Q164" s="676"/>
      <c r="R164" s="676"/>
      <c r="S164" s="676"/>
      <c r="T164" s="676"/>
      <c r="U164" s="676"/>
      <c r="V164" s="676"/>
      <c r="W164" s="676"/>
      <c r="X164" s="666"/>
      <c r="Y164" s="666"/>
      <c r="Z164" s="666"/>
      <c r="AA164" s="666"/>
      <c r="AB164" s="666"/>
      <c r="AC164" s="666"/>
      <c r="AD164" s="666"/>
      <c r="AE164" s="666"/>
      <c r="AF164" s="666"/>
      <c r="AG164" s="666"/>
      <c r="AH164" s="666"/>
      <c r="AI164" s="666"/>
      <c r="AJ164" s="666"/>
      <c r="AK164" s="666"/>
      <c r="AL164" s="666"/>
      <c r="AM164" s="666"/>
      <c r="AN164" s="666"/>
      <c r="AO164" s="666"/>
      <c r="AP164" s="666"/>
      <c r="AQ164" s="666"/>
      <c r="AR164" s="666"/>
      <c r="AS164" s="666"/>
      <c r="AT164" s="666"/>
      <c r="AU164" s="666"/>
      <c r="AV164" s="666"/>
      <c r="AW164" s="666"/>
      <c r="AX164" s="666"/>
      <c r="AY164" s="666"/>
      <c r="AZ164" s="666"/>
    </row>
    <row r="165" spans="1:52" ht="12.75" customHeight="1" x14ac:dyDescent="0.2">
      <c r="A165" s="708"/>
      <c r="B165" s="669"/>
      <c r="C165" s="669"/>
      <c r="D165" s="669"/>
      <c r="E165" s="669"/>
      <c r="F165" s="669"/>
      <c r="G165" s="700"/>
      <c r="H165" s="700"/>
      <c r="I165" s="676"/>
      <c r="J165" s="514"/>
      <c r="K165" s="514"/>
      <c r="L165" s="676"/>
      <c r="M165" s="676"/>
      <c r="N165" s="676"/>
      <c r="O165" s="676"/>
      <c r="P165" s="676"/>
      <c r="Q165" s="676"/>
      <c r="R165" s="676"/>
      <c r="S165" s="676"/>
      <c r="T165" s="676"/>
      <c r="U165" s="676"/>
      <c r="V165" s="676"/>
      <c r="W165" s="676"/>
      <c r="X165" s="666"/>
      <c r="Y165" s="666"/>
      <c r="Z165" s="666"/>
      <c r="AA165" s="666"/>
      <c r="AB165" s="666"/>
      <c r="AC165" s="666"/>
      <c r="AD165" s="666"/>
      <c r="AE165" s="666"/>
      <c r="AF165" s="666"/>
      <c r="AG165" s="666"/>
      <c r="AH165" s="666"/>
      <c r="AI165" s="666"/>
      <c r="AJ165" s="666"/>
      <c r="AK165" s="666"/>
      <c r="AL165" s="666"/>
      <c r="AM165" s="666"/>
      <c r="AN165" s="666"/>
      <c r="AO165" s="666"/>
      <c r="AP165" s="666"/>
      <c r="AQ165" s="666"/>
      <c r="AR165" s="666"/>
      <c r="AS165" s="666"/>
      <c r="AT165" s="666"/>
      <c r="AU165" s="666"/>
      <c r="AV165" s="666"/>
      <c r="AW165" s="666"/>
      <c r="AX165" s="666"/>
      <c r="AY165" s="666"/>
      <c r="AZ165" s="666"/>
    </row>
    <row r="166" spans="1:52" ht="12.75" customHeight="1" x14ac:dyDescent="0.2">
      <c r="A166" s="708"/>
      <c r="B166" s="669"/>
      <c r="C166" s="669"/>
      <c r="D166" s="669"/>
      <c r="E166" s="669"/>
      <c r="F166" s="669"/>
      <c r="G166" s="700"/>
      <c r="H166" s="700"/>
      <c r="I166" s="676"/>
      <c r="J166" s="514"/>
      <c r="K166" s="514"/>
      <c r="L166" s="676"/>
      <c r="M166" s="676"/>
      <c r="N166" s="676"/>
      <c r="O166" s="676"/>
      <c r="P166" s="676"/>
      <c r="Q166" s="676"/>
      <c r="R166" s="676"/>
      <c r="S166" s="676"/>
      <c r="T166" s="676"/>
      <c r="U166" s="676"/>
      <c r="V166" s="676"/>
      <c r="W166" s="676"/>
      <c r="X166" s="666"/>
      <c r="Y166" s="666"/>
      <c r="Z166" s="666"/>
      <c r="AA166" s="666"/>
      <c r="AB166" s="666"/>
      <c r="AC166" s="666"/>
      <c r="AD166" s="666"/>
      <c r="AE166" s="666"/>
      <c r="AF166" s="666"/>
      <c r="AG166" s="666"/>
      <c r="AH166" s="666"/>
      <c r="AI166" s="666"/>
      <c r="AJ166" s="666"/>
      <c r="AK166" s="666"/>
      <c r="AL166" s="666"/>
      <c r="AM166" s="666"/>
      <c r="AN166" s="666"/>
      <c r="AO166" s="666"/>
      <c r="AP166" s="666"/>
      <c r="AQ166" s="666"/>
      <c r="AR166" s="666"/>
      <c r="AS166" s="666"/>
      <c r="AT166" s="666"/>
      <c r="AU166" s="666"/>
      <c r="AV166" s="666"/>
      <c r="AW166" s="666"/>
      <c r="AX166" s="666"/>
      <c r="AY166" s="666"/>
      <c r="AZ166" s="666"/>
    </row>
    <row r="167" spans="1:52" ht="12.75" customHeight="1" x14ac:dyDescent="0.2">
      <c r="A167" s="708"/>
      <c r="B167" s="669"/>
      <c r="C167" s="669"/>
      <c r="D167" s="669"/>
      <c r="E167" s="669"/>
      <c r="F167" s="669"/>
      <c r="G167" s="700"/>
      <c r="H167" s="700"/>
      <c r="I167" s="676"/>
      <c r="J167" s="514"/>
      <c r="K167" s="514"/>
      <c r="L167" s="676"/>
      <c r="M167" s="676"/>
      <c r="N167" s="676"/>
      <c r="O167" s="676"/>
      <c r="P167" s="676"/>
      <c r="Q167" s="676"/>
      <c r="R167" s="676"/>
      <c r="S167" s="676"/>
      <c r="T167" s="676"/>
      <c r="U167" s="676"/>
      <c r="V167" s="676"/>
      <c r="W167" s="676"/>
      <c r="X167" s="666"/>
      <c r="Y167" s="666"/>
      <c r="Z167" s="666"/>
      <c r="AA167" s="666"/>
      <c r="AB167" s="666"/>
      <c r="AC167" s="666"/>
      <c r="AD167" s="666"/>
      <c r="AE167" s="666"/>
      <c r="AF167" s="666"/>
      <c r="AG167" s="666"/>
      <c r="AH167" s="666"/>
      <c r="AI167" s="666"/>
      <c r="AJ167" s="666"/>
      <c r="AK167" s="666"/>
      <c r="AL167" s="666"/>
      <c r="AM167" s="666"/>
      <c r="AN167" s="666"/>
      <c r="AO167" s="666"/>
      <c r="AP167" s="666"/>
      <c r="AQ167" s="666"/>
      <c r="AR167" s="666"/>
      <c r="AS167" s="666"/>
      <c r="AT167" s="666"/>
      <c r="AU167" s="666"/>
      <c r="AV167" s="666"/>
      <c r="AW167" s="666"/>
      <c r="AX167" s="666"/>
      <c r="AY167" s="666"/>
      <c r="AZ167" s="666"/>
    </row>
    <row r="168" spans="1:52" ht="12.75" customHeight="1" x14ac:dyDescent="0.2">
      <c r="A168" s="708"/>
      <c r="B168" s="669"/>
      <c r="C168" s="669"/>
      <c r="D168" s="669"/>
      <c r="E168" s="669"/>
      <c r="F168" s="669"/>
      <c r="G168" s="700"/>
      <c r="H168" s="700"/>
      <c r="I168" s="676"/>
      <c r="J168" s="514"/>
      <c r="K168" s="514"/>
      <c r="L168" s="676"/>
      <c r="M168" s="676"/>
      <c r="N168" s="676"/>
      <c r="O168" s="676"/>
      <c r="P168" s="676"/>
      <c r="Q168" s="676"/>
      <c r="R168" s="676"/>
      <c r="S168" s="676"/>
      <c r="T168" s="676"/>
      <c r="U168" s="676"/>
      <c r="V168" s="676"/>
      <c r="W168" s="676"/>
      <c r="X168" s="666"/>
      <c r="Y168" s="666"/>
      <c r="Z168" s="666"/>
      <c r="AA168" s="666"/>
      <c r="AB168" s="666"/>
      <c r="AC168" s="666"/>
      <c r="AD168" s="666"/>
      <c r="AE168" s="666"/>
      <c r="AF168" s="666"/>
      <c r="AG168" s="666"/>
      <c r="AH168" s="666"/>
      <c r="AI168" s="666"/>
      <c r="AJ168" s="666"/>
      <c r="AK168" s="666"/>
      <c r="AL168" s="666"/>
      <c r="AM168" s="666"/>
      <c r="AN168" s="666"/>
      <c r="AO168" s="666"/>
      <c r="AP168" s="666"/>
      <c r="AQ168" s="666"/>
      <c r="AR168" s="666"/>
      <c r="AS168" s="666"/>
      <c r="AT168" s="666"/>
      <c r="AU168" s="666"/>
      <c r="AV168" s="666"/>
      <c r="AW168" s="666"/>
      <c r="AX168" s="666"/>
      <c r="AY168" s="666"/>
      <c r="AZ168" s="666"/>
    </row>
    <row r="169" spans="1:52" ht="12.75" customHeight="1" x14ac:dyDescent="0.2">
      <c r="A169" s="708"/>
      <c r="B169" s="669"/>
      <c r="C169" s="669"/>
      <c r="D169" s="669"/>
      <c r="E169" s="669"/>
      <c r="F169" s="669"/>
      <c r="G169" s="700"/>
      <c r="H169" s="700"/>
      <c r="I169" s="676"/>
      <c r="J169" s="514"/>
      <c r="K169" s="514"/>
      <c r="L169" s="676"/>
      <c r="M169" s="676"/>
      <c r="N169" s="676"/>
      <c r="O169" s="676"/>
      <c r="P169" s="676"/>
      <c r="Q169" s="676"/>
      <c r="R169" s="676"/>
      <c r="S169" s="676"/>
      <c r="T169" s="676"/>
      <c r="U169" s="676"/>
      <c r="V169" s="676"/>
      <c r="W169" s="676"/>
      <c r="X169" s="666"/>
      <c r="Y169" s="666"/>
      <c r="Z169" s="666"/>
      <c r="AA169" s="666"/>
      <c r="AB169" s="666"/>
      <c r="AC169" s="666"/>
      <c r="AD169" s="666"/>
      <c r="AE169" s="666"/>
      <c r="AF169" s="666"/>
      <c r="AG169" s="666"/>
      <c r="AH169" s="666"/>
      <c r="AI169" s="666"/>
      <c r="AJ169" s="666"/>
      <c r="AK169" s="666"/>
      <c r="AL169" s="666"/>
      <c r="AM169" s="666"/>
      <c r="AN169" s="666"/>
      <c r="AO169" s="666"/>
      <c r="AP169" s="666"/>
      <c r="AQ169" s="666"/>
      <c r="AR169" s="666"/>
      <c r="AS169" s="666"/>
      <c r="AT169" s="666"/>
      <c r="AU169" s="666"/>
      <c r="AV169" s="666"/>
      <c r="AW169" s="666"/>
      <c r="AX169" s="666"/>
      <c r="AY169" s="666"/>
      <c r="AZ169" s="666"/>
    </row>
    <row r="170" spans="1:52" x14ac:dyDescent="0.2">
      <c r="A170" s="708"/>
      <c r="B170" s="669"/>
      <c r="C170" s="669"/>
      <c r="D170" s="669"/>
      <c r="E170" s="669"/>
      <c r="F170" s="669"/>
      <c r="G170" s="700"/>
      <c r="H170" s="700"/>
      <c r="I170" s="676"/>
      <c r="J170" s="514"/>
      <c r="K170" s="514"/>
      <c r="L170" s="676"/>
      <c r="M170" s="676"/>
      <c r="N170" s="676"/>
      <c r="O170" s="676"/>
      <c r="P170" s="676"/>
      <c r="Q170" s="676"/>
      <c r="R170" s="676"/>
      <c r="S170" s="676"/>
      <c r="T170" s="676"/>
      <c r="U170" s="676"/>
      <c r="V170" s="676"/>
      <c r="W170" s="67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c r="AU170" s="666"/>
      <c r="AV170" s="666"/>
      <c r="AW170" s="666"/>
      <c r="AX170" s="666"/>
      <c r="AY170" s="666"/>
      <c r="AZ170" s="666"/>
    </row>
    <row r="171" spans="1:52" x14ac:dyDescent="0.2">
      <c r="A171" s="708"/>
      <c r="B171" s="669"/>
      <c r="C171" s="669"/>
      <c r="D171" s="669"/>
      <c r="E171" s="669"/>
      <c r="F171" s="669"/>
      <c r="G171" s="700"/>
      <c r="H171" s="700"/>
      <c r="I171" s="676"/>
      <c r="J171" s="514"/>
      <c r="K171" s="514"/>
      <c r="L171" s="676"/>
      <c r="M171" s="676"/>
      <c r="N171" s="676"/>
      <c r="O171" s="676"/>
      <c r="P171" s="676"/>
      <c r="Q171" s="676"/>
      <c r="R171" s="676"/>
      <c r="S171" s="676"/>
      <c r="T171" s="676"/>
      <c r="U171" s="676"/>
      <c r="V171" s="676"/>
      <c r="W171" s="676"/>
      <c r="X171" s="666"/>
      <c r="Y171" s="666"/>
      <c r="Z171" s="666"/>
      <c r="AA171" s="666"/>
      <c r="AB171" s="666"/>
      <c r="AC171" s="666"/>
      <c r="AD171" s="666"/>
      <c r="AE171" s="666"/>
      <c r="AF171" s="666"/>
      <c r="AG171" s="666"/>
      <c r="AH171" s="666"/>
      <c r="AI171" s="666"/>
      <c r="AJ171" s="666"/>
      <c r="AK171" s="666"/>
      <c r="AL171" s="666"/>
      <c r="AM171" s="666"/>
      <c r="AN171" s="666"/>
      <c r="AO171" s="666"/>
      <c r="AP171" s="666"/>
      <c r="AQ171" s="666"/>
      <c r="AR171" s="666"/>
      <c r="AS171" s="666"/>
      <c r="AT171" s="666"/>
      <c r="AU171" s="666"/>
      <c r="AV171" s="666"/>
      <c r="AW171" s="666"/>
      <c r="AX171" s="666"/>
      <c r="AY171" s="666"/>
      <c r="AZ171" s="666"/>
    </row>
    <row r="172" spans="1:52" x14ac:dyDescent="0.2">
      <c r="A172" s="708"/>
      <c r="B172" s="669"/>
      <c r="C172" s="669"/>
      <c r="D172" s="669"/>
      <c r="E172" s="669"/>
      <c r="F172" s="669"/>
      <c r="G172" s="700"/>
      <c r="H172" s="700"/>
      <c r="I172" s="676"/>
      <c r="J172" s="514"/>
      <c r="K172" s="514"/>
      <c r="L172" s="676"/>
      <c r="M172" s="676"/>
      <c r="N172" s="676"/>
      <c r="O172" s="676"/>
      <c r="P172" s="676"/>
      <c r="Q172" s="676"/>
      <c r="R172" s="676"/>
      <c r="S172" s="676"/>
      <c r="T172" s="676"/>
      <c r="U172" s="676"/>
      <c r="V172" s="676"/>
      <c r="W172" s="676"/>
      <c r="X172" s="666"/>
      <c r="Y172" s="666"/>
      <c r="Z172" s="666"/>
      <c r="AA172" s="666"/>
      <c r="AB172" s="666"/>
      <c r="AC172" s="666"/>
      <c r="AD172" s="666"/>
      <c r="AE172" s="666"/>
      <c r="AF172" s="666"/>
      <c r="AG172" s="666"/>
      <c r="AH172" s="666"/>
      <c r="AI172" s="666"/>
      <c r="AJ172" s="666"/>
      <c r="AK172" s="666"/>
      <c r="AL172" s="666"/>
      <c r="AM172" s="666"/>
      <c r="AN172" s="666"/>
      <c r="AO172" s="666"/>
      <c r="AP172" s="666"/>
      <c r="AQ172" s="666"/>
      <c r="AR172" s="666"/>
      <c r="AS172" s="666"/>
      <c r="AT172" s="666"/>
      <c r="AU172" s="666"/>
      <c r="AV172" s="666"/>
      <c r="AW172" s="666"/>
      <c r="AX172" s="666"/>
      <c r="AY172" s="666"/>
      <c r="AZ172" s="666"/>
    </row>
    <row r="173" spans="1:52" x14ac:dyDescent="0.2">
      <c r="A173" s="708"/>
      <c r="B173" s="669"/>
      <c r="C173" s="669"/>
      <c r="D173" s="669"/>
      <c r="E173" s="669"/>
      <c r="F173" s="669"/>
      <c r="G173" s="700"/>
      <c r="H173" s="700"/>
      <c r="I173" s="676"/>
      <c r="J173" s="514"/>
      <c r="K173" s="514"/>
      <c r="L173" s="676"/>
      <c r="M173" s="676"/>
      <c r="N173" s="676"/>
      <c r="O173" s="676"/>
      <c r="P173" s="676"/>
      <c r="Q173" s="676"/>
      <c r="R173" s="676"/>
      <c r="S173" s="676"/>
      <c r="T173" s="676"/>
      <c r="U173" s="676"/>
      <c r="V173" s="676"/>
      <c r="W173" s="676"/>
      <c r="X173" s="666"/>
      <c r="Y173" s="666"/>
      <c r="Z173" s="666"/>
      <c r="AA173" s="666"/>
      <c r="AB173" s="666"/>
      <c r="AC173" s="666"/>
      <c r="AD173" s="666"/>
      <c r="AE173" s="666"/>
      <c r="AF173" s="666"/>
      <c r="AG173" s="666"/>
      <c r="AH173" s="666"/>
      <c r="AI173" s="666"/>
      <c r="AJ173" s="666"/>
      <c r="AK173" s="666"/>
      <c r="AL173" s="666"/>
      <c r="AM173" s="666"/>
      <c r="AN173" s="666"/>
      <c r="AO173" s="666"/>
      <c r="AP173" s="666"/>
      <c r="AQ173" s="666"/>
      <c r="AR173" s="666"/>
      <c r="AS173" s="666"/>
      <c r="AT173" s="666"/>
      <c r="AU173" s="666"/>
      <c r="AV173" s="666"/>
      <c r="AW173" s="666"/>
      <c r="AX173" s="666"/>
      <c r="AY173" s="666"/>
      <c r="AZ173" s="666"/>
    </row>
    <row r="174" spans="1:52" x14ac:dyDescent="0.2">
      <c r="A174" s="708"/>
      <c r="B174" s="669"/>
      <c r="C174" s="669"/>
      <c r="D174" s="669"/>
      <c r="E174" s="669"/>
      <c r="F174" s="669"/>
      <c r="G174" s="700"/>
      <c r="H174" s="700"/>
      <c r="I174" s="676"/>
      <c r="J174" s="514"/>
      <c r="K174" s="514"/>
      <c r="L174" s="676"/>
      <c r="M174" s="676"/>
      <c r="N174" s="676"/>
      <c r="O174" s="676"/>
      <c r="P174" s="676"/>
      <c r="Q174" s="676"/>
      <c r="R174" s="676"/>
      <c r="S174" s="676"/>
      <c r="T174" s="676"/>
      <c r="U174" s="676"/>
      <c r="V174" s="676"/>
      <c r="W174" s="676"/>
      <c r="X174" s="666"/>
      <c r="Y174" s="666"/>
      <c r="Z174" s="666"/>
      <c r="AA174" s="666"/>
      <c r="AB174" s="666"/>
      <c r="AC174" s="666"/>
      <c r="AD174" s="666"/>
      <c r="AE174" s="666"/>
      <c r="AF174" s="666"/>
      <c r="AG174" s="666"/>
      <c r="AH174" s="666"/>
      <c r="AI174" s="666"/>
      <c r="AJ174" s="666"/>
      <c r="AK174" s="666"/>
      <c r="AL174" s="666"/>
      <c r="AM174" s="666"/>
      <c r="AN174" s="666"/>
      <c r="AO174" s="666"/>
      <c r="AP174" s="666"/>
      <c r="AQ174" s="666"/>
      <c r="AR174" s="666"/>
      <c r="AS174" s="666"/>
      <c r="AT174" s="666"/>
      <c r="AU174" s="666"/>
      <c r="AV174" s="666"/>
      <c r="AW174" s="666"/>
      <c r="AX174" s="666"/>
      <c r="AY174" s="666"/>
      <c r="AZ174" s="666"/>
    </row>
    <row r="175" spans="1:52" x14ac:dyDescent="0.2">
      <c r="A175" s="708"/>
      <c r="B175" s="669"/>
      <c r="C175" s="669"/>
      <c r="D175" s="669"/>
      <c r="E175" s="669"/>
      <c r="F175" s="669"/>
      <c r="G175" s="700"/>
      <c r="H175" s="700"/>
      <c r="I175" s="676"/>
      <c r="J175" s="514"/>
      <c r="K175" s="514"/>
      <c r="L175" s="676"/>
      <c r="M175" s="676"/>
      <c r="N175" s="676"/>
      <c r="O175" s="676"/>
      <c r="P175" s="676"/>
      <c r="Q175" s="676"/>
      <c r="R175" s="676"/>
      <c r="S175" s="676"/>
      <c r="T175" s="676"/>
      <c r="U175" s="676"/>
      <c r="V175" s="676"/>
      <c r="W175" s="676"/>
      <c r="X175" s="666"/>
      <c r="Y175" s="666"/>
      <c r="Z175" s="666"/>
      <c r="AA175" s="666"/>
      <c r="AB175" s="666"/>
      <c r="AC175" s="666"/>
      <c r="AD175" s="666"/>
      <c r="AE175" s="666"/>
      <c r="AF175" s="666"/>
      <c r="AG175" s="666"/>
      <c r="AH175" s="666"/>
      <c r="AI175" s="666"/>
      <c r="AJ175" s="666"/>
      <c r="AK175" s="666"/>
      <c r="AL175" s="666"/>
      <c r="AM175" s="666"/>
      <c r="AN175" s="666"/>
      <c r="AO175" s="666"/>
      <c r="AP175" s="666"/>
      <c r="AQ175" s="666"/>
      <c r="AR175" s="666"/>
      <c r="AS175" s="666"/>
      <c r="AT175" s="666"/>
      <c r="AU175" s="666"/>
      <c r="AV175" s="666"/>
      <c r="AW175" s="666"/>
      <c r="AX175" s="666"/>
      <c r="AY175" s="666"/>
      <c r="AZ175" s="666"/>
    </row>
    <row r="176" spans="1:52" x14ac:dyDescent="0.2">
      <c r="A176" s="708"/>
      <c r="B176" s="669"/>
      <c r="C176" s="669"/>
      <c r="D176" s="669"/>
      <c r="E176" s="669"/>
      <c r="F176" s="669"/>
      <c r="G176" s="700"/>
      <c r="H176" s="700"/>
      <c r="I176" s="676"/>
      <c r="J176" s="514"/>
      <c r="K176" s="514"/>
      <c r="L176" s="676"/>
      <c r="M176" s="676"/>
      <c r="N176" s="676"/>
      <c r="O176" s="676"/>
      <c r="P176" s="676"/>
      <c r="Q176" s="676"/>
      <c r="R176" s="676"/>
      <c r="S176" s="676"/>
      <c r="T176" s="676"/>
      <c r="U176" s="676"/>
      <c r="V176" s="676"/>
      <c r="W176" s="676"/>
      <c r="X176" s="666"/>
      <c r="Y176" s="666"/>
      <c r="Z176" s="666"/>
      <c r="AA176" s="666"/>
      <c r="AB176" s="666"/>
      <c r="AC176" s="666"/>
      <c r="AD176" s="666"/>
      <c r="AE176" s="666"/>
      <c r="AF176" s="666"/>
      <c r="AG176" s="666"/>
      <c r="AH176" s="666"/>
      <c r="AI176" s="666"/>
      <c r="AJ176" s="666"/>
      <c r="AK176" s="666"/>
      <c r="AL176" s="666"/>
      <c r="AM176" s="666"/>
      <c r="AN176" s="666"/>
      <c r="AO176" s="666"/>
      <c r="AP176" s="666"/>
      <c r="AQ176" s="666"/>
      <c r="AR176" s="666"/>
      <c r="AS176" s="666"/>
      <c r="AT176" s="666"/>
      <c r="AU176" s="666"/>
      <c r="AV176" s="666"/>
      <c r="AW176" s="666"/>
      <c r="AX176" s="666"/>
      <c r="AY176" s="666"/>
      <c r="AZ176" s="666"/>
    </row>
    <row r="177" spans="1:52" x14ac:dyDescent="0.2">
      <c r="A177" s="708"/>
      <c r="B177" s="669"/>
      <c r="C177" s="669"/>
      <c r="D177" s="669"/>
      <c r="E177" s="669"/>
      <c r="F177" s="669"/>
      <c r="G177" s="700"/>
      <c r="H177" s="700"/>
      <c r="I177" s="676"/>
      <c r="J177" s="514"/>
      <c r="K177" s="514"/>
      <c r="L177" s="676"/>
      <c r="M177" s="676"/>
      <c r="N177" s="676"/>
      <c r="O177" s="676"/>
      <c r="P177" s="676"/>
      <c r="Q177" s="676"/>
      <c r="R177" s="676"/>
      <c r="S177" s="676"/>
      <c r="T177" s="676"/>
      <c r="U177" s="676"/>
      <c r="V177" s="676"/>
      <c r="W177" s="676"/>
      <c r="X177" s="666"/>
      <c r="Y177" s="666"/>
      <c r="Z177" s="666"/>
      <c r="AA177" s="666"/>
      <c r="AB177" s="666"/>
      <c r="AC177" s="666"/>
      <c r="AD177" s="666"/>
      <c r="AE177" s="666"/>
      <c r="AF177" s="666"/>
      <c r="AG177" s="666"/>
      <c r="AH177" s="666"/>
      <c r="AI177" s="666"/>
      <c r="AJ177" s="666"/>
      <c r="AK177" s="666"/>
      <c r="AL177" s="666"/>
      <c r="AM177" s="666"/>
      <c r="AN177" s="666"/>
      <c r="AO177" s="666"/>
      <c r="AP177" s="666"/>
      <c r="AQ177" s="666"/>
      <c r="AR177" s="666"/>
      <c r="AS177" s="666"/>
      <c r="AT177" s="666"/>
      <c r="AU177" s="666"/>
      <c r="AV177" s="666"/>
      <c r="AW177" s="666"/>
      <c r="AX177" s="666"/>
      <c r="AY177" s="666"/>
      <c r="AZ177" s="666"/>
    </row>
    <row r="178" spans="1:52" x14ac:dyDescent="0.2">
      <c r="A178" s="666"/>
      <c r="B178" s="666"/>
      <c r="C178" s="669"/>
      <c r="D178" s="669"/>
      <c r="E178" s="669"/>
      <c r="F178" s="669"/>
      <c r="G178" s="666"/>
      <c r="H178" s="666"/>
      <c r="I178" s="666"/>
      <c r="J178" s="666"/>
      <c r="K178" s="666"/>
      <c r="L178" s="666"/>
      <c r="M178" s="666"/>
      <c r="N178" s="666"/>
      <c r="O178" s="666"/>
      <c r="P178" s="666"/>
      <c r="Q178" s="666"/>
      <c r="R178" s="666"/>
      <c r="S178" s="666"/>
      <c r="T178" s="666"/>
      <c r="U178" s="666"/>
      <c r="V178" s="666"/>
      <c r="W178" s="666"/>
      <c r="X178" s="666"/>
      <c r="Y178" s="666"/>
      <c r="Z178" s="666"/>
      <c r="AA178" s="666"/>
      <c r="AB178" s="666"/>
      <c r="AC178" s="666"/>
      <c r="AD178" s="666"/>
      <c r="AE178" s="666"/>
      <c r="AF178" s="666"/>
      <c r="AG178" s="666"/>
      <c r="AH178" s="666"/>
      <c r="AI178" s="666"/>
      <c r="AJ178" s="666"/>
      <c r="AK178" s="666"/>
      <c r="AL178" s="666"/>
      <c r="AM178" s="666"/>
      <c r="AN178" s="666"/>
      <c r="AO178" s="666"/>
      <c r="AP178" s="666"/>
      <c r="AQ178" s="666"/>
      <c r="AR178" s="666"/>
      <c r="AS178" s="666"/>
      <c r="AT178" s="666"/>
      <c r="AU178" s="666"/>
      <c r="AV178" s="666"/>
      <c r="AW178" s="666"/>
      <c r="AX178" s="666"/>
      <c r="AY178" s="666"/>
      <c r="AZ178" s="666"/>
    </row>
    <row r="179" spans="1:52" x14ac:dyDescent="0.2">
      <c r="A179" s="666"/>
      <c r="B179" s="666"/>
      <c r="C179" s="666"/>
      <c r="D179" s="666"/>
      <c r="E179" s="666"/>
      <c r="F179" s="666"/>
      <c r="G179" s="666"/>
      <c r="H179" s="666"/>
      <c r="I179" s="666"/>
      <c r="J179" s="666"/>
      <c r="K179" s="666"/>
      <c r="L179" s="666"/>
      <c r="M179" s="666"/>
      <c r="N179" s="666"/>
      <c r="O179" s="666"/>
      <c r="P179" s="666"/>
      <c r="Q179" s="666"/>
      <c r="R179" s="666"/>
      <c r="S179" s="666"/>
      <c r="T179" s="666"/>
      <c r="U179" s="666"/>
      <c r="V179" s="666"/>
      <c r="W179" s="666"/>
      <c r="X179" s="666"/>
      <c r="Y179" s="666"/>
      <c r="Z179" s="666"/>
      <c r="AA179" s="666"/>
      <c r="AB179" s="666"/>
      <c r="AC179" s="666"/>
      <c r="AD179" s="666"/>
      <c r="AE179" s="666"/>
      <c r="AF179" s="666"/>
      <c r="AG179" s="666"/>
      <c r="AH179" s="666"/>
      <c r="AI179" s="666"/>
      <c r="AJ179" s="666"/>
      <c r="AK179" s="666"/>
      <c r="AL179" s="666"/>
      <c r="AM179" s="666"/>
      <c r="AN179" s="666"/>
      <c r="AO179" s="666"/>
      <c r="AP179" s="666"/>
      <c r="AQ179" s="666"/>
      <c r="AR179" s="666"/>
      <c r="AS179" s="666"/>
      <c r="AT179" s="666"/>
      <c r="AU179" s="666"/>
      <c r="AV179" s="666"/>
      <c r="AW179" s="666"/>
      <c r="AX179" s="666"/>
      <c r="AY179" s="666"/>
      <c r="AZ179" s="666"/>
    </row>
    <row r="180" spans="1:52" x14ac:dyDescent="0.2">
      <c r="A180" s="666"/>
      <c r="B180" s="666"/>
      <c r="C180" s="666"/>
      <c r="D180" s="666"/>
      <c r="E180" s="666"/>
      <c r="F180" s="666"/>
      <c r="G180" s="666"/>
      <c r="H180" s="666"/>
      <c r="I180" s="666"/>
      <c r="J180" s="666"/>
      <c r="K180" s="666"/>
      <c r="L180" s="666"/>
      <c r="M180" s="666"/>
      <c r="N180" s="666"/>
      <c r="O180" s="666"/>
      <c r="P180" s="666"/>
      <c r="Q180" s="666"/>
      <c r="R180" s="666"/>
      <c r="S180" s="666"/>
      <c r="T180" s="666"/>
      <c r="U180" s="666"/>
      <c r="V180" s="666"/>
      <c r="W180" s="666"/>
      <c r="X180" s="666"/>
      <c r="Y180" s="666"/>
      <c r="Z180" s="666"/>
      <c r="AA180" s="666"/>
      <c r="AB180" s="666"/>
      <c r="AC180" s="666"/>
      <c r="AD180" s="666"/>
      <c r="AE180" s="666"/>
      <c r="AF180" s="666"/>
      <c r="AG180" s="666"/>
      <c r="AH180" s="666"/>
      <c r="AI180" s="666"/>
      <c r="AJ180" s="666"/>
      <c r="AK180" s="666"/>
      <c r="AL180" s="666"/>
      <c r="AM180" s="666"/>
      <c r="AN180" s="666"/>
      <c r="AO180" s="666"/>
      <c r="AP180" s="666"/>
      <c r="AQ180" s="666"/>
      <c r="AR180" s="666"/>
      <c r="AS180" s="666"/>
      <c r="AT180" s="666"/>
      <c r="AU180" s="666"/>
      <c r="AV180" s="666"/>
      <c r="AW180" s="666"/>
      <c r="AX180" s="666"/>
      <c r="AY180" s="666"/>
      <c r="AZ180" s="666"/>
    </row>
    <row r="181" spans="1:52" x14ac:dyDescent="0.2">
      <c r="A181" s="666"/>
      <c r="B181" s="666"/>
      <c r="C181" s="666"/>
      <c r="D181" s="666"/>
      <c r="E181" s="666"/>
      <c r="F181" s="666"/>
      <c r="G181" s="666"/>
      <c r="H181" s="666"/>
      <c r="I181" s="666"/>
      <c r="J181" s="666"/>
      <c r="K181" s="666"/>
      <c r="L181" s="666"/>
      <c r="M181" s="666"/>
      <c r="N181" s="666"/>
      <c r="O181" s="666"/>
      <c r="P181" s="666"/>
      <c r="Q181" s="666"/>
      <c r="R181" s="666"/>
      <c r="S181" s="666"/>
      <c r="T181" s="666"/>
      <c r="U181" s="666"/>
      <c r="V181" s="666"/>
      <c r="W181" s="666"/>
      <c r="X181" s="666"/>
      <c r="Y181" s="666"/>
      <c r="Z181" s="666"/>
      <c r="AA181" s="666"/>
      <c r="AB181" s="666"/>
      <c r="AC181" s="666"/>
      <c r="AD181" s="666"/>
      <c r="AE181" s="666"/>
      <c r="AF181" s="666"/>
      <c r="AG181" s="666"/>
      <c r="AH181" s="666"/>
      <c r="AI181" s="666"/>
      <c r="AJ181" s="666"/>
      <c r="AK181" s="666"/>
      <c r="AL181" s="666"/>
      <c r="AM181" s="666"/>
      <c r="AN181" s="666"/>
      <c r="AO181" s="666"/>
      <c r="AP181" s="666"/>
      <c r="AQ181" s="666"/>
      <c r="AR181" s="666"/>
      <c r="AS181" s="666"/>
      <c r="AT181" s="666"/>
      <c r="AU181" s="666"/>
      <c r="AV181" s="666"/>
      <c r="AW181" s="666"/>
      <c r="AX181" s="666"/>
      <c r="AY181" s="666"/>
      <c r="AZ181" s="666"/>
    </row>
    <row r="182" spans="1:52" x14ac:dyDescent="0.2">
      <c r="A182" s="666"/>
      <c r="B182" s="666"/>
      <c r="C182" s="666"/>
      <c r="D182" s="666"/>
      <c r="E182" s="666"/>
      <c r="F182" s="666"/>
      <c r="G182" s="666"/>
      <c r="H182" s="666"/>
      <c r="I182" s="666"/>
      <c r="J182" s="666"/>
      <c r="K182" s="666"/>
      <c r="L182" s="666"/>
      <c r="M182" s="666"/>
      <c r="N182" s="666"/>
      <c r="O182" s="666"/>
      <c r="P182" s="666"/>
      <c r="Q182" s="666"/>
      <c r="R182" s="666"/>
      <c r="S182" s="666"/>
      <c r="T182" s="666"/>
      <c r="U182" s="666"/>
      <c r="V182" s="666"/>
      <c r="W182" s="666"/>
      <c r="X182" s="666"/>
      <c r="Y182" s="666"/>
      <c r="Z182" s="666"/>
      <c r="AA182" s="666"/>
      <c r="AB182" s="666"/>
      <c r="AC182" s="666"/>
      <c r="AD182" s="666"/>
      <c r="AE182" s="666"/>
      <c r="AF182" s="666"/>
      <c r="AG182" s="666"/>
      <c r="AH182" s="666"/>
      <c r="AI182" s="666"/>
      <c r="AJ182" s="666"/>
      <c r="AK182" s="666"/>
      <c r="AL182" s="666"/>
      <c r="AM182" s="666"/>
      <c r="AN182" s="666"/>
      <c r="AO182" s="666"/>
      <c r="AP182" s="666"/>
      <c r="AQ182" s="666"/>
      <c r="AR182" s="666"/>
      <c r="AS182" s="666"/>
      <c r="AT182" s="666"/>
      <c r="AU182" s="666"/>
      <c r="AV182" s="666"/>
      <c r="AW182" s="666"/>
      <c r="AX182" s="666"/>
      <c r="AY182" s="666"/>
      <c r="AZ182" s="666"/>
    </row>
    <row r="183" spans="1:52" x14ac:dyDescent="0.2">
      <c r="A183" s="666"/>
      <c r="B183" s="666"/>
      <c r="C183" s="666"/>
      <c r="D183" s="666"/>
      <c r="E183" s="666"/>
      <c r="F183" s="666"/>
      <c r="G183" s="666"/>
      <c r="H183" s="666"/>
      <c r="I183" s="666"/>
      <c r="J183" s="666"/>
      <c r="K183" s="666"/>
      <c r="L183" s="666"/>
      <c r="M183" s="666"/>
      <c r="N183" s="666"/>
      <c r="O183" s="666"/>
      <c r="P183" s="666"/>
      <c r="Q183" s="666"/>
      <c r="R183" s="666"/>
      <c r="S183" s="666"/>
      <c r="T183" s="666"/>
      <c r="U183" s="666"/>
      <c r="V183" s="666"/>
      <c r="W183" s="666"/>
      <c r="X183" s="666"/>
      <c r="Y183" s="666"/>
      <c r="Z183" s="666"/>
      <c r="AA183" s="666"/>
      <c r="AB183" s="666"/>
      <c r="AC183" s="666"/>
      <c r="AD183" s="666"/>
      <c r="AE183" s="666"/>
      <c r="AF183" s="666"/>
      <c r="AG183" s="666"/>
      <c r="AH183" s="666"/>
      <c r="AI183" s="666"/>
      <c r="AJ183" s="666"/>
      <c r="AK183" s="666"/>
      <c r="AL183" s="666"/>
      <c r="AM183" s="666"/>
      <c r="AN183" s="666"/>
      <c r="AO183" s="666"/>
      <c r="AP183" s="666"/>
      <c r="AQ183" s="666"/>
      <c r="AR183" s="666"/>
      <c r="AS183" s="666"/>
      <c r="AT183" s="666"/>
      <c r="AU183" s="666"/>
      <c r="AV183" s="666"/>
      <c r="AW183" s="666"/>
      <c r="AX183" s="666"/>
      <c r="AY183" s="666"/>
      <c r="AZ183" s="666"/>
    </row>
    <row r="184" spans="1:52" x14ac:dyDescent="0.2">
      <c r="A184" s="666"/>
      <c r="B184" s="666"/>
      <c r="C184" s="666"/>
      <c r="D184" s="666"/>
      <c r="E184" s="666"/>
      <c r="F184" s="666"/>
      <c r="G184" s="666"/>
      <c r="H184" s="666"/>
      <c r="I184" s="666"/>
      <c r="J184" s="666"/>
      <c r="K184" s="666"/>
      <c r="L184" s="666"/>
      <c r="M184" s="666"/>
      <c r="N184" s="666"/>
      <c r="O184" s="666"/>
      <c r="P184" s="666"/>
      <c r="Q184" s="666"/>
      <c r="R184" s="666"/>
      <c r="S184" s="666"/>
      <c r="T184" s="666"/>
      <c r="U184" s="666"/>
      <c r="V184" s="666"/>
      <c r="W184" s="666"/>
      <c r="X184" s="666"/>
      <c r="Y184" s="666"/>
      <c r="Z184" s="666"/>
      <c r="AA184" s="666"/>
      <c r="AB184" s="666"/>
      <c r="AC184" s="666"/>
      <c r="AD184" s="666"/>
      <c r="AE184" s="666"/>
      <c r="AF184" s="666"/>
      <c r="AG184" s="666"/>
      <c r="AH184" s="666"/>
      <c r="AI184" s="666"/>
      <c r="AJ184" s="666"/>
      <c r="AK184" s="666"/>
      <c r="AL184" s="666"/>
      <c r="AM184" s="666"/>
      <c r="AN184" s="666"/>
      <c r="AO184" s="666"/>
      <c r="AP184" s="666"/>
      <c r="AQ184" s="666"/>
      <c r="AR184" s="666"/>
      <c r="AS184" s="666"/>
      <c r="AT184" s="666"/>
      <c r="AU184" s="666"/>
      <c r="AV184" s="666"/>
      <c r="AW184" s="666"/>
      <c r="AX184" s="666"/>
      <c r="AY184" s="666"/>
      <c r="AZ184" s="666"/>
    </row>
    <row r="185" spans="1:52" x14ac:dyDescent="0.2">
      <c r="A185" s="666"/>
      <c r="B185" s="666"/>
      <c r="C185" s="666"/>
      <c r="D185" s="666"/>
      <c r="E185" s="666"/>
      <c r="F185" s="666"/>
      <c r="G185" s="666"/>
      <c r="H185" s="666"/>
      <c r="I185" s="666"/>
      <c r="J185" s="666"/>
      <c r="K185" s="666"/>
      <c r="L185" s="666"/>
      <c r="M185" s="666"/>
      <c r="N185" s="666"/>
      <c r="O185" s="666"/>
      <c r="P185" s="666"/>
      <c r="Q185" s="666"/>
      <c r="R185" s="666"/>
      <c r="S185" s="666"/>
      <c r="T185" s="666"/>
      <c r="U185" s="666"/>
      <c r="V185" s="666"/>
      <c r="W185" s="666"/>
      <c r="X185" s="666"/>
      <c r="Y185" s="666"/>
      <c r="Z185" s="666"/>
      <c r="AA185" s="666"/>
      <c r="AB185" s="666"/>
      <c r="AC185" s="666"/>
      <c r="AD185" s="666"/>
      <c r="AE185" s="666"/>
      <c r="AF185" s="666"/>
      <c r="AG185" s="666"/>
      <c r="AH185" s="666"/>
      <c r="AI185" s="666"/>
      <c r="AJ185" s="666"/>
      <c r="AK185" s="666"/>
      <c r="AL185" s="666"/>
      <c r="AM185" s="666"/>
      <c r="AN185" s="666"/>
      <c r="AO185" s="666"/>
      <c r="AP185" s="666"/>
      <c r="AQ185" s="666"/>
      <c r="AR185" s="666"/>
      <c r="AS185" s="666"/>
      <c r="AT185" s="666"/>
      <c r="AU185" s="666"/>
      <c r="AV185" s="666"/>
      <c r="AW185" s="666"/>
      <c r="AX185" s="666"/>
      <c r="AY185" s="666"/>
      <c r="AZ185" s="666"/>
    </row>
    <row r="186" spans="1:52" x14ac:dyDescent="0.2">
      <c r="A186" s="666"/>
      <c r="B186" s="666"/>
      <c r="C186" s="666"/>
      <c r="D186" s="666"/>
      <c r="E186" s="666"/>
      <c r="F186" s="666"/>
      <c r="G186" s="666"/>
      <c r="H186" s="666"/>
      <c r="I186" s="666"/>
      <c r="J186" s="666"/>
      <c r="K186" s="666"/>
      <c r="L186" s="666"/>
      <c r="M186" s="666"/>
      <c r="N186" s="666"/>
      <c r="O186" s="666"/>
      <c r="P186" s="666"/>
      <c r="Q186" s="666"/>
      <c r="R186" s="666"/>
      <c r="S186" s="666"/>
      <c r="T186" s="666"/>
      <c r="U186" s="666"/>
      <c r="V186" s="666"/>
      <c r="W186" s="666"/>
      <c r="X186" s="666"/>
      <c r="Y186" s="666"/>
      <c r="Z186" s="666"/>
      <c r="AA186" s="666"/>
      <c r="AB186" s="666"/>
      <c r="AC186" s="666"/>
      <c r="AD186" s="666"/>
      <c r="AE186" s="666"/>
      <c r="AF186" s="666"/>
      <c r="AG186" s="666"/>
      <c r="AH186" s="666"/>
      <c r="AI186" s="666"/>
      <c r="AJ186" s="666"/>
      <c r="AK186" s="666"/>
      <c r="AL186" s="666"/>
      <c r="AM186" s="666"/>
      <c r="AN186" s="666"/>
      <c r="AO186" s="666"/>
      <c r="AP186" s="666"/>
      <c r="AQ186" s="666"/>
      <c r="AR186" s="666"/>
      <c r="AS186" s="666"/>
      <c r="AT186" s="666"/>
      <c r="AU186" s="666"/>
      <c r="AV186" s="666"/>
      <c r="AW186" s="666"/>
      <c r="AX186" s="666"/>
      <c r="AY186" s="666"/>
      <c r="AZ186" s="666"/>
    </row>
    <row r="187" spans="1:52" x14ac:dyDescent="0.2">
      <c r="A187" s="666"/>
      <c r="B187" s="666"/>
      <c r="C187" s="666"/>
      <c r="D187" s="666"/>
      <c r="E187" s="666"/>
      <c r="F187" s="666"/>
      <c r="G187" s="666"/>
      <c r="H187" s="666"/>
      <c r="I187" s="666"/>
      <c r="J187" s="666"/>
      <c r="K187" s="666"/>
      <c r="L187" s="666"/>
      <c r="M187" s="666"/>
      <c r="N187" s="666"/>
      <c r="O187" s="666"/>
      <c r="P187" s="666"/>
      <c r="Q187" s="666"/>
      <c r="R187" s="666"/>
      <c r="S187" s="666"/>
      <c r="T187" s="666"/>
      <c r="U187" s="666"/>
      <c r="V187" s="666"/>
      <c r="W187" s="666"/>
      <c r="X187" s="666"/>
      <c r="Y187" s="666"/>
      <c r="Z187" s="666"/>
      <c r="AA187" s="666"/>
      <c r="AB187" s="666"/>
      <c r="AC187" s="666"/>
      <c r="AD187" s="666"/>
      <c r="AE187" s="666"/>
      <c r="AF187" s="666"/>
      <c r="AG187" s="666"/>
      <c r="AH187" s="666"/>
      <c r="AI187" s="666"/>
      <c r="AJ187" s="666"/>
      <c r="AK187" s="666"/>
      <c r="AL187" s="666"/>
      <c r="AM187" s="666"/>
      <c r="AN187" s="666"/>
      <c r="AO187" s="666"/>
      <c r="AP187" s="666"/>
      <c r="AQ187" s="666"/>
      <c r="AR187" s="666"/>
      <c r="AS187" s="666"/>
      <c r="AT187" s="666"/>
      <c r="AU187" s="666"/>
      <c r="AV187" s="666"/>
      <c r="AW187" s="666"/>
      <c r="AX187" s="666"/>
      <c r="AY187" s="666"/>
      <c r="AZ187" s="666"/>
    </row>
    <row r="188" spans="1:52" x14ac:dyDescent="0.2">
      <c r="A188" s="666"/>
      <c r="B188" s="666"/>
      <c r="C188" s="666"/>
      <c r="D188" s="666"/>
      <c r="E188" s="666"/>
      <c r="F188" s="666"/>
      <c r="G188" s="666"/>
      <c r="H188" s="666"/>
      <c r="I188" s="666"/>
      <c r="J188" s="666"/>
      <c r="K188" s="666"/>
      <c r="L188" s="666"/>
      <c r="M188" s="666"/>
      <c r="N188" s="666"/>
      <c r="O188" s="666"/>
      <c r="P188" s="666"/>
      <c r="Q188" s="666"/>
      <c r="R188" s="666"/>
      <c r="S188" s="666"/>
      <c r="T188" s="666"/>
      <c r="U188" s="666"/>
      <c r="V188" s="666"/>
      <c r="W188" s="666"/>
      <c r="X188" s="666"/>
      <c r="Y188" s="666"/>
      <c r="Z188" s="666"/>
      <c r="AA188" s="666"/>
      <c r="AB188" s="666"/>
      <c r="AC188" s="666"/>
      <c r="AD188" s="666"/>
      <c r="AE188" s="666"/>
      <c r="AF188" s="666"/>
      <c r="AG188" s="666"/>
      <c r="AH188" s="666"/>
      <c r="AI188" s="666"/>
      <c r="AJ188" s="666"/>
      <c r="AK188" s="666"/>
      <c r="AL188" s="666"/>
      <c r="AM188" s="666"/>
      <c r="AN188" s="666"/>
      <c r="AO188" s="666"/>
      <c r="AP188" s="666"/>
      <c r="AQ188" s="666"/>
      <c r="AR188" s="666"/>
      <c r="AS188" s="666"/>
      <c r="AT188" s="666"/>
      <c r="AU188" s="666"/>
      <c r="AV188" s="666"/>
      <c r="AW188" s="666"/>
      <c r="AX188" s="666"/>
      <c r="AY188" s="666"/>
      <c r="AZ188" s="666"/>
    </row>
    <row r="189" spans="1:52" x14ac:dyDescent="0.2">
      <c r="A189" s="666"/>
      <c r="B189" s="666"/>
      <c r="C189" s="666"/>
      <c r="D189" s="666"/>
      <c r="E189" s="666"/>
      <c r="F189" s="666"/>
      <c r="G189" s="666"/>
      <c r="H189" s="666"/>
      <c r="I189" s="666"/>
      <c r="J189" s="666"/>
      <c r="K189" s="666"/>
      <c r="L189" s="666"/>
      <c r="M189" s="666"/>
      <c r="N189" s="666"/>
      <c r="O189" s="666"/>
      <c r="P189" s="666"/>
      <c r="Q189" s="666"/>
      <c r="R189" s="666"/>
      <c r="S189" s="666"/>
      <c r="T189" s="666"/>
      <c r="U189" s="666"/>
      <c r="V189" s="666"/>
      <c r="W189" s="666"/>
      <c r="X189" s="666"/>
      <c r="Y189" s="666"/>
      <c r="Z189" s="666"/>
      <c r="AA189" s="666"/>
      <c r="AB189" s="666"/>
      <c r="AC189" s="666"/>
      <c r="AD189" s="666"/>
      <c r="AE189" s="666"/>
      <c r="AF189" s="666"/>
      <c r="AG189" s="666"/>
      <c r="AH189" s="666"/>
      <c r="AI189" s="666"/>
      <c r="AJ189" s="666"/>
      <c r="AK189" s="666"/>
      <c r="AL189" s="666"/>
      <c r="AM189" s="666"/>
      <c r="AN189" s="666"/>
      <c r="AO189" s="666"/>
      <c r="AP189" s="666"/>
      <c r="AQ189" s="666"/>
      <c r="AR189" s="666"/>
      <c r="AS189" s="666"/>
      <c r="AT189" s="666"/>
      <c r="AU189" s="666"/>
      <c r="AV189" s="666"/>
      <c r="AW189" s="666"/>
      <c r="AX189" s="666"/>
      <c r="AY189" s="666"/>
      <c r="AZ189" s="666"/>
    </row>
    <row r="190" spans="1:52" x14ac:dyDescent="0.2">
      <c r="A190" s="666"/>
      <c r="B190" s="666"/>
      <c r="C190" s="666"/>
      <c r="D190" s="666"/>
      <c r="E190" s="666"/>
      <c r="F190" s="666"/>
      <c r="G190" s="666"/>
      <c r="H190" s="666"/>
      <c r="I190" s="666"/>
      <c r="J190" s="666"/>
      <c r="K190" s="666"/>
      <c r="L190" s="666"/>
      <c r="M190" s="666"/>
      <c r="N190" s="666"/>
      <c r="O190" s="666"/>
      <c r="P190" s="666"/>
      <c r="Q190" s="666"/>
      <c r="R190" s="666"/>
      <c r="S190" s="666"/>
      <c r="T190" s="666"/>
      <c r="U190" s="666"/>
      <c r="V190" s="666"/>
      <c r="W190" s="666"/>
      <c r="X190" s="666"/>
      <c r="Y190" s="666"/>
      <c r="Z190" s="666"/>
      <c r="AA190" s="666"/>
      <c r="AB190" s="666"/>
      <c r="AC190" s="666"/>
      <c r="AD190" s="666"/>
      <c r="AE190" s="666"/>
      <c r="AF190" s="666"/>
      <c r="AG190" s="666"/>
      <c r="AH190" s="666"/>
      <c r="AI190" s="666"/>
      <c r="AJ190" s="666"/>
      <c r="AK190" s="666"/>
      <c r="AL190" s="666"/>
      <c r="AM190" s="666"/>
      <c r="AN190" s="666"/>
      <c r="AO190" s="666"/>
      <c r="AP190" s="666"/>
      <c r="AQ190" s="666"/>
      <c r="AR190" s="666"/>
      <c r="AS190" s="666"/>
      <c r="AT190" s="666"/>
      <c r="AU190" s="666"/>
      <c r="AV190" s="666"/>
      <c r="AW190" s="666"/>
      <c r="AX190" s="666"/>
      <c r="AY190" s="666"/>
      <c r="AZ190" s="666"/>
    </row>
    <row r="191" spans="1:52" x14ac:dyDescent="0.2">
      <c r="A191" s="666"/>
      <c r="B191" s="666"/>
      <c r="C191" s="666"/>
      <c r="D191" s="666"/>
      <c r="E191" s="666"/>
      <c r="F191" s="666"/>
      <c r="G191" s="666"/>
      <c r="H191" s="666"/>
      <c r="I191" s="666"/>
      <c r="J191" s="666"/>
      <c r="K191" s="666"/>
      <c r="L191" s="666"/>
      <c r="M191" s="666"/>
      <c r="N191" s="666"/>
      <c r="O191" s="666"/>
      <c r="P191" s="666"/>
      <c r="Q191" s="666"/>
      <c r="R191" s="666"/>
      <c r="S191" s="666"/>
      <c r="T191" s="666"/>
      <c r="U191" s="666"/>
      <c r="V191" s="666"/>
      <c r="W191" s="666"/>
      <c r="X191" s="666"/>
      <c r="Y191" s="666"/>
      <c r="Z191" s="666"/>
      <c r="AA191" s="666"/>
      <c r="AB191" s="666"/>
      <c r="AC191" s="666"/>
      <c r="AD191" s="666"/>
      <c r="AE191" s="666"/>
      <c r="AF191" s="666"/>
      <c r="AG191" s="666"/>
      <c r="AH191" s="666"/>
      <c r="AI191" s="666"/>
      <c r="AJ191" s="666"/>
      <c r="AK191" s="666"/>
      <c r="AL191" s="666"/>
      <c r="AM191" s="666"/>
      <c r="AN191" s="666"/>
      <c r="AO191" s="666"/>
      <c r="AP191" s="666"/>
      <c r="AQ191" s="666"/>
      <c r="AR191" s="666"/>
      <c r="AS191" s="666"/>
      <c r="AT191" s="666"/>
      <c r="AU191" s="666"/>
      <c r="AV191" s="666"/>
      <c r="AW191" s="666"/>
      <c r="AX191" s="666"/>
      <c r="AY191" s="666"/>
      <c r="AZ191" s="666"/>
    </row>
    <row r="192" spans="1:52" x14ac:dyDescent="0.2">
      <c r="A192" s="666"/>
      <c r="B192" s="666"/>
      <c r="C192" s="666"/>
      <c r="D192" s="666"/>
      <c r="E192" s="666"/>
      <c r="F192" s="666"/>
      <c r="G192" s="666"/>
      <c r="H192" s="666"/>
      <c r="I192" s="666"/>
      <c r="J192" s="666"/>
      <c r="K192" s="666"/>
      <c r="L192" s="666"/>
      <c r="M192" s="666"/>
      <c r="N192" s="666"/>
      <c r="O192" s="666"/>
      <c r="P192" s="666"/>
      <c r="Q192" s="666"/>
      <c r="R192" s="666"/>
      <c r="S192" s="666"/>
      <c r="T192" s="666"/>
      <c r="U192" s="666"/>
      <c r="V192" s="666"/>
      <c r="W192" s="666"/>
      <c r="X192" s="666"/>
      <c r="Y192" s="666"/>
      <c r="Z192" s="666"/>
      <c r="AA192" s="666"/>
      <c r="AB192" s="666"/>
      <c r="AC192" s="666"/>
      <c r="AD192" s="666"/>
      <c r="AE192" s="666"/>
      <c r="AF192" s="666"/>
      <c r="AG192" s="666"/>
      <c r="AH192" s="666"/>
      <c r="AI192" s="666"/>
      <c r="AJ192" s="666"/>
      <c r="AK192" s="666"/>
      <c r="AL192" s="666"/>
      <c r="AM192" s="666"/>
      <c r="AN192" s="666"/>
      <c r="AO192" s="666"/>
      <c r="AP192" s="666"/>
      <c r="AQ192" s="666"/>
      <c r="AR192" s="666"/>
      <c r="AS192" s="666"/>
      <c r="AT192" s="666"/>
      <c r="AU192" s="666"/>
      <c r="AV192" s="666"/>
      <c r="AW192" s="666"/>
      <c r="AX192" s="666"/>
      <c r="AY192" s="666"/>
      <c r="AZ192" s="666"/>
    </row>
    <row r="193" spans="1:52" x14ac:dyDescent="0.2">
      <c r="A193" s="666"/>
      <c r="B193" s="666"/>
      <c r="C193" s="666"/>
      <c r="D193" s="666"/>
      <c r="E193" s="666"/>
      <c r="F193" s="666"/>
      <c r="G193" s="666"/>
      <c r="H193" s="666"/>
      <c r="I193" s="666"/>
      <c r="J193" s="666"/>
      <c r="K193" s="666"/>
      <c r="L193" s="666"/>
      <c r="M193" s="666"/>
      <c r="N193" s="666"/>
      <c r="O193" s="666"/>
      <c r="P193" s="666"/>
      <c r="Q193" s="666"/>
      <c r="R193" s="666"/>
      <c r="S193" s="666"/>
      <c r="T193" s="666"/>
      <c r="U193" s="666"/>
      <c r="V193" s="666"/>
      <c r="W193" s="666"/>
      <c r="X193" s="666"/>
      <c r="Y193" s="666"/>
      <c r="Z193" s="666"/>
      <c r="AA193" s="666"/>
      <c r="AB193" s="666"/>
      <c r="AC193" s="666"/>
      <c r="AD193" s="666"/>
      <c r="AE193" s="666"/>
      <c r="AF193" s="666"/>
      <c r="AG193" s="666"/>
      <c r="AH193" s="666"/>
      <c r="AI193" s="666"/>
      <c r="AJ193" s="666"/>
      <c r="AK193" s="666"/>
      <c r="AL193" s="666"/>
      <c r="AM193" s="666"/>
      <c r="AN193" s="666"/>
      <c r="AO193" s="666"/>
      <c r="AP193" s="666"/>
      <c r="AQ193" s="666"/>
      <c r="AR193" s="666"/>
      <c r="AS193" s="666"/>
      <c r="AT193" s="666"/>
      <c r="AU193" s="666"/>
      <c r="AV193" s="666"/>
      <c r="AW193" s="666"/>
      <c r="AX193" s="666"/>
      <c r="AY193" s="666"/>
      <c r="AZ193" s="666"/>
    </row>
    <row r="194" spans="1:52" x14ac:dyDescent="0.2">
      <c r="A194" s="666"/>
      <c r="B194" s="666"/>
      <c r="C194" s="666"/>
      <c r="D194" s="666"/>
      <c r="E194" s="666"/>
      <c r="F194" s="666"/>
      <c r="G194" s="666"/>
      <c r="H194" s="666"/>
      <c r="I194" s="666"/>
      <c r="J194" s="666"/>
      <c r="K194" s="666"/>
      <c r="L194" s="666"/>
      <c r="M194" s="666"/>
      <c r="N194" s="666"/>
      <c r="O194" s="666"/>
      <c r="P194" s="666"/>
      <c r="Q194" s="666"/>
      <c r="R194" s="666"/>
      <c r="S194" s="666"/>
      <c r="T194" s="666"/>
      <c r="U194" s="666"/>
      <c r="V194" s="666"/>
      <c r="W194" s="666"/>
      <c r="X194" s="666"/>
      <c r="Y194" s="666"/>
      <c r="Z194" s="666"/>
      <c r="AA194" s="666"/>
      <c r="AB194" s="666"/>
      <c r="AC194" s="666"/>
      <c r="AD194" s="666"/>
      <c r="AE194" s="666"/>
      <c r="AF194" s="666"/>
      <c r="AG194" s="666"/>
      <c r="AH194" s="666"/>
      <c r="AI194" s="666"/>
      <c r="AJ194" s="666"/>
      <c r="AK194" s="666"/>
      <c r="AL194" s="666"/>
      <c r="AM194" s="666"/>
      <c r="AN194" s="666"/>
      <c r="AO194" s="666"/>
      <c r="AP194" s="666"/>
      <c r="AQ194" s="666"/>
      <c r="AR194" s="666"/>
      <c r="AS194" s="666"/>
      <c r="AT194" s="666"/>
      <c r="AU194" s="666"/>
      <c r="AV194" s="666"/>
      <c r="AW194" s="666"/>
      <c r="AX194" s="666"/>
      <c r="AY194" s="666"/>
      <c r="AZ194" s="666"/>
    </row>
    <row r="195" spans="1:52" x14ac:dyDescent="0.2">
      <c r="A195" s="666"/>
      <c r="B195" s="666"/>
      <c r="C195" s="666"/>
      <c r="D195" s="666"/>
      <c r="E195" s="666"/>
      <c r="F195" s="666"/>
      <c r="G195" s="666"/>
      <c r="H195" s="666"/>
      <c r="I195" s="666"/>
      <c r="J195" s="666"/>
      <c r="K195" s="666"/>
      <c r="L195" s="666"/>
      <c r="M195" s="666"/>
      <c r="N195" s="666"/>
      <c r="O195" s="666"/>
      <c r="P195" s="666"/>
      <c r="Q195" s="666"/>
      <c r="R195" s="666"/>
      <c r="S195" s="666"/>
      <c r="T195" s="666"/>
      <c r="U195" s="666"/>
      <c r="V195" s="666"/>
      <c r="W195" s="666"/>
      <c r="X195" s="666"/>
      <c r="Y195" s="666"/>
      <c r="Z195" s="666"/>
      <c r="AA195" s="666"/>
      <c r="AB195" s="666"/>
      <c r="AC195" s="666"/>
      <c r="AD195" s="666"/>
      <c r="AE195" s="666"/>
      <c r="AF195" s="666"/>
      <c r="AG195" s="666"/>
      <c r="AH195" s="666"/>
      <c r="AI195" s="666"/>
      <c r="AJ195" s="666"/>
      <c r="AK195" s="666"/>
      <c r="AL195" s="666"/>
      <c r="AM195" s="666"/>
      <c r="AN195" s="666"/>
      <c r="AO195" s="666"/>
      <c r="AP195" s="666"/>
      <c r="AQ195" s="666"/>
      <c r="AR195" s="666"/>
      <c r="AS195" s="666"/>
      <c r="AT195" s="666"/>
      <c r="AU195" s="666"/>
      <c r="AV195" s="666"/>
      <c r="AW195" s="666"/>
      <c r="AX195" s="666"/>
      <c r="AY195" s="666"/>
      <c r="AZ195" s="666"/>
    </row>
    <row r="196" spans="1:52" x14ac:dyDescent="0.2">
      <c r="A196" s="666"/>
      <c r="B196" s="666"/>
      <c r="C196" s="666"/>
      <c r="D196" s="666"/>
      <c r="E196" s="666"/>
      <c r="F196" s="666"/>
      <c r="G196" s="666"/>
      <c r="H196" s="666"/>
      <c r="I196" s="666"/>
      <c r="J196" s="666"/>
      <c r="K196" s="666"/>
      <c r="L196" s="666"/>
      <c r="M196" s="666"/>
      <c r="N196" s="666"/>
      <c r="O196" s="666"/>
      <c r="P196" s="666"/>
      <c r="Q196" s="666"/>
      <c r="R196" s="666"/>
      <c r="S196" s="666"/>
      <c r="T196" s="666"/>
      <c r="U196" s="666"/>
      <c r="V196" s="666"/>
      <c r="W196" s="666"/>
      <c r="X196" s="666"/>
      <c r="Y196" s="666"/>
      <c r="Z196" s="666"/>
      <c r="AA196" s="666"/>
      <c r="AB196" s="666"/>
      <c r="AC196" s="666"/>
      <c r="AD196" s="666"/>
      <c r="AE196" s="666"/>
      <c r="AF196" s="666"/>
      <c r="AG196" s="666"/>
      <c r="AH196" s="666"/>
      <c r="AI196" s="666"/>
      <c r="AJ196" s="666"/>
      <c r="AK196" s="666"/>
      <c r="AL196" s="666"/>
      <c r="AM196" s="666"/>
      <c r="AN196" s="666"/>
      <c r="AO196" s="666"/>
      <c r="AP196" s="666"/>
      <c r="AQ196" s="666"/>
      <c r="AR196" s="666"/>
      <c r="AS196" s="666"/>
      <c r="AT196" s="666"/>
      <c r="AU196" s="666"/>
      <c r="AV196" s="666"/>
      <c r="AW196" s="666"/>
      <c r="AX196" s="666"/>
      <c r="AY196" s="666"/>
      <c r="AZ196" s="666"/>
    </row>
    <row r="197" spans="1:52" x14ac:dyDescent="0.2">
      <c r="A197" s="666"/>
      <c r="B197" s="666"/>
      <c r="C197" s="666"/>
      <c r="D197" s="666"/>
      <c r="E197" s="666"/>
      <c r="F197" s="666"/>
      <c r="G197" s="666"/>
      <c r="H197" s="666"/>
      <c r="I197" s="666"/>
      <c r="J197" s="666"/>
      <c r="K197" s="666"/>
      <c r="L197" s="666"/>
      <c r="M197" s="666"/>
      <c r="N197" s="666"/>
      <c r="O197" s="666"/>
      <c r="P197" s="666"/>
      <c r="Q197" s="666"/>
      <c r="R197" s="666"/>
      <c r="S197" s="666"/>
      <c r="T197" s="666"/>
      <c r="U197" s="666"/>
      <c r="V197" s="666"/>
      <c r="W197" s="666"/>
      <c r="X197" s="666"/>
      <c r="Y197" s="666"/>
      <c r="Z197" s="666"/>
      <c r="AA197" s="666"/>
      <c r="AB197" s="666"/>
      <c r="AC197" s="666"/>
      <c r="AD197" s="666"/>
      <c r="AE197" s="666"/>
      <c r="AF197" s="666"/>
      <c r="AG197" s="666"/>
      <c r="AH197" s="666"/>
      <c r="AI197" s="666"/>
      <c r="AJ197" s="666"/>
      <c r="AK197" s="666"/>
      <c r="AL197" s="666"/>
      <c r="AM197" s="666"/>
      <c r="AN197" s="666"/>
      <c r="AO197" s="666"/>
      <c r="AP197" s="666"/>
      <c r="AQ197" s="666"/>
      <c r="AR197" s="666"/>
      <c r="AS197" s="666"/>
      <c r="AT197" s="666"/>
      <c r="AU197" s="666"/>
      <c r="AV197" s="666"/>
      <c r="AW197" s="666"/>
      <c r="AX197" s="666"/>
      <c r="AY197" s="666"/>
      <c r="AZ197" s="666"/>
    </row>
    <row r="198" spans="1:52" x14ac:dyDescent="0.2">
      <c r="A198" s="666"/>
      <c r="B198" s="666"/>
      <c r="C198" s="666"/>
      <c r="D198" s="666"/>
      <c r="E198" s="666"/>
      <c r="F198" s="666"/>
      <c r="G198" s="666"/>
      <c r="H198" s="666"/>
      <c r="I198" s="666"/>
      <c r="J198" s="666"/>
      <c r="K198" s="666"/>
      <c r="L198" s="666"/>
      <c r="M198" s="666"/>
      <c r="N198" s="666"/>
      <c r="O198" s="666"/>
      <c r="P198" s="666"/>
      <c r="Q198" s="666"/>
      <c r="R198" s="666"/>
      <c r="S198" s="666"/>
      <c r="T198" s="666"/>
      <c r="U198" s="666"/>
      <c r="V198" s="666"/>
      <c r="W198" s="666"/>
      <c r="X198" s="666"/>
      <c r="Y198" s="666"/>
      <c r="Z198" s="666"/>
      <c r="AA198" s="666"/>
      <c r="AB198" s="666"/>
      <c r="AC198" s="666"/>
      <c r="AD198" s="666"/>
      <c r="AE198" s="666"/>
      <c r="AF198" s="666"/>
      <c r="AG198" s="666"/>
      <c r="AH198" s="666"/>
      <c r="AI198" s="666"/>
      <c r="AJ198" s="666"/>
      <c r="AK198" s="666"/>
      <c r="AL198" s="666"/>
      <c r="AM198" s="666"/>
      <c r="AN198" s="666"/>
      <c r="AO198" s="666"/>
      <c r="AP198" s="666"/>
      <c r="AQ198" s="666"/>
      <c r="AR198" s="666"/>
      <c r="AS198" s="666"/>
      <c r="AT198" s="666"/>
      <c r="AU198" s="666"/>
      <c r="AV198" s="666"/>
      <c r="AW198" s="666"/>
      <c r="AX198" s="666"/>
      <c r="AY198" s="666"/>
      <c r="AZ198" s="666"/>
    </row>
    <row r="199" spans="1:52" x14ac:dyDescent="0.2">
      <c r="A199" s="666"/>
      <c r="B199" s="666"/>
      <c r="C199" s="666"/>
      <c r="D199" s="666"/>
      <c r="E199" s="666"/>
      <c r="F199" s="666"/>
      <c r="G199" s="666"/>
      <c r="H199" s="666"/>
      <c r="I199" s="666"/>
      <c r="J199" s="666"/>
      <c r="K199" s="666"/>
      <c r="L199" s="666"/>
      <c r="M199" s="666"/>
      <c r="N199" s="666"/>
      <c r="O199" s="666"/>
      <c r="P199" s="666"/>
      <c r="Q199" s="666"/>
      <c r="R199" s="666"/>
      <c r="S199" s="666"/>
      <c r="T199" s="666"/>
      <c r="U199" s="666"/>
      <c r="V199" s="666"/>
      <c r="W199" s="666"/>
      <c r="X199" s="666"/>
      <c r="Y199" s="666"/>
      <c r="Z199" s="666"/>
      <c r="AA199" s="666"/>
      <c r="AB199" s="666"/>
      <c r="AC199" s="666"/>
      <c r="AD199" s="666"/>
      <c r="AE199" s="666"/>
      <c r="AF199" s="666"/>
      <c r="AG199" s="666"/>
      <c r="AH199" s="666"/>
      <c r="AI199" s="666"/>
      <c r="AJ199" s="666"/>
      <c r="AK199" s="666"/>
      <c r="AL199" s="666"/>
      <c r="AM199" s="666"/>
      <c r="AN199" s="666"/>
      <c r="AO199" s="666"/>
      <c r="AP199" s="666"/>
      <c r="AQ199" s="666"/>
      <c r="AR199" s="666"/>
      <c r="AS199" s="666"/>
      <c r="AT199" s="666"/>
      <c r="AU199" s="666"/>
      <c r="AV199" s="666"/>
      <c r="AW199" s="666"/>
      <c r="AX199" s="666"/>
      <c r="AY199" s="666"/>
      <c r="AZ199" s="666"/>
    </row>
    <row r="200" spans="1:52" x14ac:dyDescent="0.2">
      <c r="A200" s="666"/>
      <c r="B200" s="666"/>
      <c r="C200" s="666"/>
      <c r="D200" s="666"/>
      <c r="E200" s="666"/>
      <c r="F200" s="666"/>
      <c r="G200" s="666"/>
      <c r="H200" s="666"/>
      <c r="I200" s="666"/>
      <c r="J200" s="666"/>
      <c r="K200" s="666"/>
      <c r="L200" s="666"/>
      <c r="M200" s="666"/>
      <c r="N200" s="666"/>
      <c r="O200" s="666"/>
      <c r="P200" s="666"/>
      <c r="Q200" s="666"/>
      <c r="R200" s="666"/>
      <c r="S200" s="666"/>
      <c r="T200" s="666"/>
      <c r="U200" s="666"/>
      <c r="V200" s="666"/>
      <c r="W200" s="666"/>
      <c r="X200" s="666"/>
      <c r="Y200" s="666"/>
      <c r="Z200" s="666"/>
      <c r="AA200" s="666"/>
      <c r="AB200" s="666"/>
      <c r="AC200" s="666"/>
      <c r="AD200" s="666"/>
      <c r="AE200" s="666"/>
      <c r="AF200" s="666"/>
      <c r="AG200" s="666"/>
      <c r="AH200" s="666"/>
      <c r="AI200" s="666"/>
      <c r="AJ200" s="666"/>
      <c r="AK200" s="666"/>
      <c r="AL200" s="666"/>
      <c r="AM200" s="666"/>
      <c r="AN200" s="666"/>
      <c r="AO200" s="666"/>
      <c r="AP200" s="666"/>
      <c r="AQ200" s="666"/>
      <c r="AR200" s="666"/>
      <c r="AS200" s="666"/>
      <c r="AT200" s="666"/>
      <c r="AU200" s="666"/>
      <c r="AV200" s="666"/>
      <c r="AW200" s="666"/>
      <c r="AX200" s="666"/>
      <c r="AY200" s="666"/>
      <c r="AZ200" s="666"/>
    </row>
    <row r="201" spans="1:52" x14ac:dyDescent="0.2">
      <c r="A201" s="666"/>
      <c r="B201" s="666"/>
      <c r="C201" s="666"/>
      <c r="D201" s="666"/>
      <c r="E201" s="666"/>
      <c r="F201" s="666"/>
      <c r="G201" s="666"/>
      <c r="H201" s="666"/>
      <c r="I201" s="666"/>
      <c r="J201" s="666"/>
      <c r="K201" s="666"/>
      <c r="L201" s="666"/>
      <c r="M201" s="666"/>
      <c r="N201" s="666"/>
      <c r="O201" s="666"/>
      <c r="P201" s="666"/>
      <c r="Q201" s="666"/>
      <c r="R201" s="666"/>
      <c r="S201" s="666"/>
      <c r="T201" s="666"/>
      <c r="U201" s="666"/>
      <c r="V201" s="666"/>
      <c r="W201" s="666"/>
      <c r="X201" s="666"/>
      <c r="Y201" s="666"/>
      <c r="Z201" s="666"/>
      <c r="AA201" s="666"/>
      <c r="AB201" s="666"/>
      <c r="AC201" s="666"/>
      <c r="AD201" s="666"/>
      <c r="AE201" s="666"/>
      <c r="AF201" s="666"/>
      <c r="AG201" s="666"/>
      <c r="AH201" s="666"/>
      <c r="AI201" s="666"/>
      <c r="AJ201" s="666"/>
      <c r="AK201" s="666"/>
      <c r="AL201" s="666"/>
      <c r="AM201" s="666"/>
      <c r="AN201" s="666"/>
      <c r="AO201" s="666"/>
      <c r="AP201" s="666"/>
      <c r="AQ201" s="666"/>
      <c r="AR201" s="666"/>
      <c r="AS201" s="666"/>
      <c r="AT201" s="666"/>
      <c r="AU201" s="666"/>
      <c r="AV201" s="666"/>
      <c r="AW201" s="666"/>
      <c r="AX201" s="666"/>
      <c r="AY201" s="666"/>
      <c r="AZ201" s="666"/>
    </row>
    <row r="202" spans="1:52" x14ac:dyDescent="0.2">
      <c r="A202" s="666"/>
      <c r="B202" s="666"/>
      <c r="C202" s="666"/>
      <c r="D202" s="666"/>
      <c r="E202" s="666"/>
      <c r="F202" s="666"/>
      <c r="G202" s="666"/>
      <c r="H202" s="666"/>
      <c r="I202" s="666"/>
      <c r="J202" s="666"/>
      <c r="K202" s="666"/>
      <c r="L202" s="666"/>
      <c r="M202" s="666"/>
      <c r="N202" s="666"/>
      <c r="O202" s="666"/>
      <c r="P202" s="666"/>
      <c r="Q202" s="666"/>
      <c r="R202" s="666"/>
      <c r="S202" s="666"/>
      <c r="T202" s="666"/>
      <c r="U202" s="666"/>
      <c r="V202" s="666"/>
      <c r="W202" s="666"/>
      <c r="X202" s="666"/>
      <c r="Y202" s="666"/>
      <c r="Z202" s="666"/>
      <c r="AA202" s="666"/>
      <c r="AB202" s="666"/>
      <c r="AC202" s="666"/>
      <c r="AD202" s="666"/>
      <c r="AE202" s="666"/>
      <c r="AF202" s="666"/>
      <c r="AG202" s="666"/>
      <c r="AH202" s="666"/>
      <c r="AI202" s="666"/>
      <c r="AJ202" s="666"/>
      <c r="AK202" s="666"/>
      <c r="AL202" s="666"/>
      <c r="AM202" s="666"/>
      <c r="AN202" s="666"/>
      <c r="AO202" s="666"/>
      <c r="AP202" s="666"/>
      <c r="AQ202" s="666"/>
      <c r="AR202" s="666"/>
      <c r="AS202" s="666"/>
      <c r="AT202" s="666"/>
      <c r="AU202" s="666"/>
      <c r="AV202" s="666"/>
      <c r="AW202" s="666"/>
      <c r="AX202" s="666"/>
      <c r="AY202" s="666"/>
      <c r="AZ202" s="666"/>
    </row>
    <row r="203" spans="1:52" x14ac:dyDescent="0.2">
      <c r="A203" s="666"/>
      <c r="B203" s="666"/>
      <c r="C203" s="666"/>
      <c r="D203" s="666"/>
      <c r="E203" s="666"/>
      <c r="F203" s="666"/>
      <c r="G203" s="666"/>
      <c r="H203" s="666"/>
      <c r="I203" s="666"/>
      <c r="J203" s="666"/>
      <c r="K203" s="666"/>
      <c r="L203" s="666"/>
      <c r="M203" s="666"/>
      <c r="N203" s="666"/>
      <c r="O203" s="666"/>
      <c r="P203" s="666"/>
      <c r="Q203" s="666"/>
      <c r="R203" s="666"/>
      <c r="S203" s="666"/>
      <c r="T203" s="666"/>
      <c r="U203" s="666"/>
      <c r="V203" s="666"/>
      <c r="W203" s="666"/>
      <c r="X203" s="666"/>
      <c r="Y203" s="666"/>
      <c r="Z203" s="666"/>
      <c r="AA203" s="666"/>
      <c r="AB203" s="666"/>
      <c r="AC203" s="666"/>
      <c r="AD203" s="666"/>
      <c r="AE203" s="666"/>
      <c r="AF203" s="666"/>
      <c r="AG203" s="666"/>
      <c r="AH203" s="666"/>
      <c r="AI203" s="666"/>
      <c r="AJ203" s="666"/>
      <c r="AK203" s="666"/>
      <c r="AL203" s="666"/>
      <c r="AM203" s="666"/>
      <c r="AN203" s="666"/>
      <c r="AO203" s="666"/>
      <c r="AP203" s="666"/>
      <c r="AQ203" s="666"/>
      <c r="AR203" s="666"/>
      <c r="AS203" s="666"/>
      <c r="AT203" s="666"/>
      <c r="AU203" s="666"/>
      <c r="AV203" s="666"/>
      <c r="AW203" s="666"/>
      <c r="AX203" s="666"/>
      <c r="AY203" s="666"/>
      <c r="AZ203" s="666"/>
    </row>
    <row r="204" spans="1:52" x14ac:dyDescent="0.2">
      <c r="A204" s="666"/>
      <c r="B204" s="666"/>
      <c r="C204" s="666"/>
      <c r="D204" s="666"/>
      <c r="E204" s="666"/>
      <c r="F204" s="666"/>
      <c r="G204" s="666"/>
      <c r="H204" s="666"/>
      <c r="I204" s="666"/>
      <c r="J204" s="666"/>
      <c r="K204" s="666"/>
      <c r="L204" s="666"/>
      <c r="M204" s="666"/>
      <c r="N204" s="666"/>
      <c r="O204" s="666"/>
      <c r="P204" s="666"/>
      <c r="Q204" s="666"/>
      <c r="R204" s="666"/>
      <c r="S204" s="666"/>
      <c r="T204" s="666"/>
      <c r="U204" s="666"/>
      <c r="V204" s="666"/>
      <c r="W204" s="666"/>
      <c r="X204" s="666"/>
      <c r="Y204" s="666"/>
      <c r="Z204" s="666"/>
      <c r="AA204" s="666"/>
      <c r="AB204" s="666"/>
      <c r="AC204" s="666"/>
      <c r="AD204" s="666"/>
      <c r="AE204" s="666"/>
      <c r="AF204" s="666"/>
      <c r="AG204" s="666"/>
      <c r="AH204" s="666"/>
      <c r="AI204" s="666"/>
      <c r="AJ204" s="666"/>
      <c r="AK204" s="666"/>
      <c r="AL204" s="666"/>
      <c r="AM204" s="666"/>
      <c r="AN204" s="666"/>
      <c r="AO204" s="666"/>
      <c r="AP204" s="666"/>
      <c r="AQ204" s="666"/>
      <c r="AR204" s="666"/>
      <c r="AS204" s="666"/>
      <c r="AT204" s="666"/>
      <c r="AU204" s="666"/>
      <c r="AV204" s="666"/>
      <c r="AW204" s="666"/>
      <c r="AX204" s="666"/>
      <c r="AY204" s="666"/>
      <c r="AZ204" s="666"/>
    </row>
    <row r="205" spans="1:52" x14ac:dyDescent="0.2">
      <c r="A205" s="666"/>
      <c r="B205" s="666"/>
      <c r="C205" s="666"/>
      <c r="D205" s="666"/>
      <c r="E205" s="666"/>
      <c r="F205" s="666"/>
      <c r="G205" s="666"/>
      <c r="H205" s="666"/>
      <c r="I205" s="666"/>
      <c r="J205" s="666"/>
      <c r="K205" s="666"/>
      <c r="L205" s="666"/>
      <c r="M205" s="666"/>
      <c r="N205" s="666"/>
      <c r="O205" s="666"/>
      <c r="P205" s="666"/>
      <c r="Q205" s="666"/>
      <c r="R205" s="666"/>
      <c r="S205" s="666"/>
      <c r="T205" s="666"/>
      <c r="U205" s="666"/>
      <c r="V205" s="666"/>
      <c r="W205" s="666"/>
      <c r="X205" s="666"/>
      <c r="Y205" s="666"/>
      <c r="Z205" s="666"/>
      <c r="AA205" s="666"/>
      <c r="AB205" s="666"/>
      <c r="AC205" s="666"/>
      <c r="AD205" s="666"/>
      <c r="AE205" s="666"/>
      <c r="AF205" s="666"/>
      <c r="AG205" s="666"/>
      <c r="AH205" s="666"/>
      <c r="AI205" s="666"/>
      <c r="AJ205" s="666"/>
      <c r="AK205" s="666"/>
      <c r="AL205" s="666"/>
      <c r="AM205" s="666"/>
      <c r="AN205" s="666"/>
      <c r="AO205" s="666"/>
      <c r="AP205" s="666"/>
      <c r="AQ205" s="666"/>
      <c r="AR205" s="666"/>
      <c r="AS205" s="666"/>
      <c r="AT205" s="666"/>
      <c r="AU205" s="666"/>
      <c r="AV205" s="666"/>
      <c r="AW205" s="666"/>
      <c r="AX205" s="666"/>
      <c r="AY205" s="666"/>
      <c r="AZ205" s="666"/>
    </row>
    <row r="206" spans="1:52" x14ac:dyDescent="0.2">
      <c r="A206" s="666"/>
      <c r="B206" s="666"/>
      <c r="C206" s="666"/>
      <c r="D206" s="666"/>
      <c r="E206" s="666"/>
      <c r="F206" s="666"/>
      <c r="G206" s="666"/>
      <c r="H206" s="666"/>
      <c r="I206" s="666"/>
      <c r="J206" s="666"/>
      <c r="K206" s="666"/>
      <c r="L206" s="666"/>
      <c r="M206" s="666"/>
      <c r="N206" s="666"/>
      <c r="O206" s="666"/>
      <c r="P206" s="666"/>
      <c r="Q206" s="666"/>
      <c r="R206" s="666"/>
      <c r="S206" s="666"/>
      <c r="T206" s="666"/>
      <c r="U206" s="666"/>
      <c r="V206" s="666"/>
      <c r="W206" s="666"/>
      <c r="X206" s="666"/>
      <c r="Y206" s="666"/>
      <c r="Z206" s="666"/>
      <c r="AA206" s="666"/>
      <c r="AB206" s="666"/>
      <c r="AC206" s="666"/>
      <c r="AD206" s="666"/>
      <c r="AE206" s="666"/>
      <c r="AF206" s="666"/>
      <c r="AG206" s="666"/>
      <c r="AH206" s="666"/>
      <c r="AI206" s="666"/>
      <c r="AJ206" s="666"/>
      <c r="AK206" s="666"/>
      <c r="AL206" s="666"/>
      <c r="AM206" s="666"/>
      <c r="AN206" s="666"/>
      <c r="AO206" s="666"/>
      <c r="AP206" s="666"/>
      <c r="AQ206" s="666"/>
      <c r="AR206" s="666"/>
      <c r="AS206" s="666"/>
      <c r="AT206" s="666"/>
      <c r="AU206" s="666"/>
      <c r="AV206" s="666"/>
      <c r="AW206" s="666"/>
      <c r="AX206" s="666"/>
      <c r="AY206" s="666"/>
      <c r="AZ206" s="666"/>
    </row>
    <row r="207" spans="1:52" x14ac:dyDescent="0.2">
      <c r="A207" s="666"/>
      <c r="B207" s="666"/>
      <c r="C207" s="666"/>
      <c r="D207" s="666"/>
      <c r="E207" s="666"/>
      <c r="F207" s="666"/>
      <c r="G207" s="666"/>
      <c r="H207" s="666"/>
      <c r="I207" s="666"/>
      <c r="J207" s="666"/>
      <c r="K207" s="666"/>
      <c r="L207" s="666"/>
      <c r="M207" s="666"/>
      <c r="N207" s="666"/>
      <c r="O207" s="666"/>
      <c r="P207" s="666"/>
      <c r="Q207" s="666"/>
      <c r="R207" s="666"/>
      <c r="S207" s="666"/>
      <c r="T207" s="666"/>
      <c r="U207" s="666"/>
      <c r="V207" s="666"/>
      <c r="W207" s="666"/>
      <c r="X207" s="666"/>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row>
    <row r="208" spans="1:52" x14ac:dyDescent="0.2">
      <c r="A208" s="666"/>
      <c r="B208" s="666"/>
      <c r="C208" s="666"/>
      <c r="D208" s="666"/>
      <c r="E208" s="666"/>
      <c r="F208" s="666"/>
      <c r="G208" s="666"/>
      <c r="H208" s="666"/>
      <c r="I208" s="666"/>
      <c r="J208" s="666"/>
      <c r="K208" s="666"/>
      <c r="L208" s="666"/>
      <c r="M208" s="666"/>
      <c r="N208" s="666"/>
      <c r="O208" s="666"/>
      <c r="P208" s="666"/>
      <c r="Q208" s="666"/>
      <c r="R208" s="666"/>
      <c r="S208" s="666"/>
      <c r="T208" s="666"/>
      <c r="U208" s="666"/>
      <c r="V208" s="666"/>
      <c r="W208" s="666"/>
      <c r="X208" s="666"/>
      <c r="Y208" s="666"/>
      <c r="Z208" s="666"/>
      <c r="AA208" s="666"/>
      <c r="AB208" s="666"/>
      <c r="AC208" s="666"/>
      <c r="AD208" s="666"/>
      <c r="AE208" s="666"/>
      <c r="AF208" s="666"/>
      <c r="AG208" s="666"/>
      <c r="AH208" s="666"/>
      <c r="AI208" s="666"/>
      <c r="AJ208" s="666"/>
      <c r="AK208" s="666"/>
      <c r="AL208" s="666"/>
      <c r="AM208" s="666"/>
      <c r="AN208" s="666"/>
      <c r="AO208" s="666"/>
      <c r="AP208" s="666"/>
      <c r="AQ208" s="666"/>
      <c r="AR208" s="666"/>
      <c r="AS208" s="666"/>
      <c r="AT208" s="666"/>
      <c r="AU208" s="666"/>
      <c r="AV208" s="666"/>
      <c r="AW208" s="666"/>
      <c r="AX208" s="666"/>
      <c r="AY208" s="666"/>
      <c r="AZ208" s="666"/>
    </row>
    <row r="209" spans="1:52" x14ac:dyDescent="0.2">
      <c r="A209" s="666"/>
      <c r="B209" s="666"/>
      <c r="C209" s="666"/>
      <c r="D209" s="666"/>
      <c r="E209" s="666"/>
      <c r="F209" s="666"/>
      <c r="G209" s="666"/>
      <c r="H209" s="666"/>
      <c r="I209" s="666"/>
      <c r="J209" s="666"/>
      <c r="K209" s="666"/>
      <c r="L209" s="666"/>
      <c r="M209" s="666"/>
      <c r="N209" s="666"/>
      <c r="O209" s="666"/>
      <c r="P209" s="666"/>
      <c r="Q209" s="666"/>
      <c r="R209" s="666"/>
      <c r="S209" s="666"/>
      <c r="T209" s="666"/>
      <c r="U209" s="666"/>
      <c r="V209" s="666"/>
      <c r="W209" s="666"/>
      <c r="X209" s="666"/>
      <c r="Y209" s="666"/>
      <c r="Z209" s="666"/>
      <c r="AA209" s="666"/>
      <c r="AB209" s="666"/>
      <c r="AC209" s="666"/>
      <c r="AD209" s="666"/>
      <c r="AE209" s="666"/>
      <c r="AF209" s="666"/>
      <c r="AG209" s="666"/>
      <c r="AH209" s="666"/>
      <c r="AI209" s="666"/>
      <c r="AJ209" s="666"/>
      <c r="AK209" s="666"/>
      <c r="AL209" s="666"/>
      <c r="AM209" s="666"/>
      <c r="AN209" s="666"/>
      <c r="AO209" s="666"/>
      <c r="AP209" s="666"/>
      <c r="AQ209" s="666"/>
      <c r="AR209" s="666"/>
      <c r="AS209" s="666"/>
      <c r="AT209" s="666"/>
      <c r="AU209" s="666"/>
      <c r="AV209" s="666"/>
      <c r="AW209" s="666"/>
      <c r="AX209" s="666"/>
      <c r="AY209" s="666"/>
      <c r="AZ209" s="666"/>
    </row>
    <row r="210" spans="1:52" x14ac:dyDescent="0.2">
      <c r="A210" s="666"/>
      <c r="B210" s="666"/>
      <c r="C210" s="666"/>
      <c r="D210" s="666"/>
      <c r="E210" s="666"/>
      <c r="F210" s="666"/>
      <c r="G210" s="666"/>
      <c r="H210" s="666"/>
      <c r="I210" s="666"/>
      <c r="J210" s="666"/>
      <c r="K210" s="666"/>
      <c r="L210" s="666"/>
      <c r="M210" s="666"/>
      <c r="N210" s="666"/>
      <c r="O210" s="666"/>
      <c r="P210" s="666"/>
      <c r="Q210" s="666"/>
      <c r="R210" s="666"/>
      <c r="S210" s="666"/>
      <c r="T210" s="666"/>
      <c r="U210" s="666"/>
      <c r="V210" s="666"/>
      <c r="W210" s="666"/>
      <c r="X210" s="666"/>
      <c r="Y210" s="666"/>
      <c r="Z210" s="666"/>
      <c r="AA210" s="666"/>
      <c r="AB210" s="666"/>
      <c r="AC210" s="666"/>
      <c r="AD210" s="666"/>
      <c r="AE210" s="666"/>
      <c r="AF210" s="666"/>
      <c r="AG210" s="666"/>
      <c r="AH210" s="666"/>
      <c r="AI210" s="666"/>
      <c r="AJ210" s="666"/>
      <c r="AK210" s="666"/>
      <c r="AL210" s="666"/>
      <c r="AM210" s="666"/>
      <c r="AN210" s="666"/>
      <c r="AO210" s="666"/>
      <c r="AP210" s="666"/>
      <c r="AQ210" s="666"/>
      <c r="AR210" s="666"/>
      <c r="AS210" s="666"/>
      <c r="AT210" s="666"/>
      <c r="AU210" s="666"/>
      <c r="AV210" s="666"/>
      <c r="AW210" s="666"/>
      <c r="AX210" s="666"/>
      <c r="AY210" s="666"/>
      <c r="AZ210" s="666"/>
    </row>
    <row r="211" spans="1:52" x14ac:dyDescent="0.2">
      <c r="A211" s="666"/>
      <c r="B211" s="666"/>
      <c r="C211" s="666"/>
      <c r="D211" s="666"/>
      <c r="E211" s="666"/>
      <c r="F211" s="666"/>
      <c r="G211" s="666"/>
      <c r="H211" s="666"/>
      <c r="I211" s="666"/>
      <c r="J211" s="666"/>
      <c r="K211" s="666"/>
      <c r="L211" s="666"/>
      <c r="M211" s="666"/>
      <c r="N211" s="666"/>
      <c r="O211" s="666"/>
      <c r="P211" s="666"/>
      <c r="Q211" s="666"/>
      <c r="R211" s="666"/>
      <c r="S211" s="666"/>
      <c r="T211" s="666"/>
      <c r="U211" s="666"/>
      <c r="V211" s="666"/>
      <c r="W211" s="666"/>
      <c r="X211" s="666"/>
      <c r="Y211" s="666"/>
      <c r="Z211" s="666"/>
      <c r="AA211" s="666"/>
      <c r="AB211" s="666"/>
      <c r="AC211" s="666"/>
      <c r="AD211" s="666"/>
      <c r="AE211" s="666"/>
      <c r="AF211" s="666"/>
      <c r="AG211" s="666"/>
      <c r="AH211" s="666"/>
      <c r="AI211" s="666"/>
      <c r="AJ211" s="666"/>
      <c r="AK211" s="666"/>
      <c r="AL211" s="666"/>
      <c r="AM211" s="666"/>
      <c r="AN211" s="666"/>
      <c r="AO211" s="666"/>
      <c r="AP211" s="666"/>
      <c r="AQ211" s="666"/>
      <c r="AR211" s="666"/>
      <c r="AS211" s="666"/>
      <c r="AT211" s="666"/>
      <c r="AU211" s="666"/>
      <c r="AV211" s="666"/>
      <c r="AW211" s="666"/>
      <c r="AX211" s="666"/>
      <c r="AY211" s="666"/>
      <c r="AZ211" s="666"/>
    </row>
    <row r="212" spans="1:52" x14ac:dyDescent="0.2">
      <c r="A212" s="666"/>
      <c r="B212" s="666"/>
      <c r="C212" s="666"/>
      <c r="D212" s="666"/>
      <c r="E212" s="666"/>
      <c r="F212" s="666"/>
      <c r="G212" s="666"/>
      <c r="H212" s="666"/>
      <c r="I212" s="666"/>
      <c r="J212" s="666"/>
      <c r="K212" s="666"/>
      <c r="L212" s="666"/>
      <c r="M212" s="666"/>
      <c r="N212" s="666"/>
      <c r="O212" s="666"/>
      <c r="P212" s="666"/>
      <c r="Q212" s="666"/>
      <c r="R212" s="666"/>
      <c r="S212" s="666"/>
      <c r="T212" s="666"/>
      <c r="U212" s="666"/>
      <c r="V212" s="666"/>
      <c r="W212" s="666"/>
      <c r="X212" s="666"/>
      <c r="Y212" s="666"/>
      <c r="Z212" s="666"/>
      <c r="AA212" s="666"/>
      <c r="AB212" s="666"/>
      <c r="AC212" s="666"/>
      <c r="AD212" s="666"/>
      <c r="AE212" s="666"/>
      <c r="AF212" s="666"/>
      <c r="AG212" s="666"/>
      <c r="AH212" s="666"/>
      <c r="AI212" s="666"/>
      <c r="AJ212" s="666"/>
      <c r="AK212" s="666"/>
      <c r="AL212" s="666"/>
      <c r="AM212" s="666"/>
      <c r="AN212" s="666"/>
      <c r="AO212" s="666"/>
      <c r="AP212" s="666"/>
      <c r="AQ212" s="666"/>
      <c r="AR212" s="666"/>
      <c r="AS212" s="666"/>
      <c r="AT212" s="666"/>
      <c r="AU212" s="666"/>
      <c r="AV212" s="666"/>
      <c r="AW212" s="666"/>
      <c r="AX212" s="666"/>
      <c r="AY212" s="666"/>
      <c r="AZ212" s="666"/>
    </row>
    <row r="213" spans="1:52" x14ac:dyDescent="0.2">
      <c r="A213" s="666"/>
      <c r="B213" s="666"/>
      <c r="C213" s="666"/>
      <c r="D213" s="666"/>
      <c r="E213" s="666"/>
      <c r="F213" s="666"/>
      <c r="G213" s="666"/>
      <c r="H213" s="666"/>
      <c r="I213" s="666"/>
      <c r="J213" s="666"/>
      <c r="K213" s="666"/>
      <c r="L213" s="666"/>
      <c r="M213" s="666"/>
      <c r="N213" s="666"/>
      <c r="O213" s="666"/>
      <c r="P213" s="666"/>
      <c r="Q213" s="666"/>
      <c r="R213" s="666"/>
      <c r="S213" s="666"/>
      <c r="T213" s="666"/>
      <c r="U213" s="666"/>
      <c r="V213" s="666"/>
      <c r="W213" s="666"/>
      <c r="X213" s="666"/>
      <c r="Y213" s="666"/>
      <c r="Z213" s="666"/>
      <c r="AA213" s="666"/>
      <c r="AB213" s="666"/>
      <c r="AC213" s="666"/>
      <c r="AD213" s="666"/>
      <c r="AE213" s="666"/>
      <c r="AF213" s="666"/>
      <c r="AG213" s="666"/>
      <c r="AH213" s="666"/>
      <c r="AI213" s="666"/>
      <c r="AJ213" s="666"/>
      <c r="AK213" s="666"/>
      <c r="AL213" s="666"/>
      <c r="AM213" s="666"/>
      <c r="AN213" s="666"/>
      <c r="AO213" s="666"/>
      <c r="AP213" s="666"/>
      <c r="AQ213" s="666"/>
      <c r="AR213" s="666"/>
      <c r="AS213" s="666"/>
      <c r="AT213" s="666"/>
      <c r="AU213" s="666"/>
      <c r="AV213" s="666"/>
      <c r="AW213" s="666"/>
      <c r="AX213" s="666"/>
      <c r="AY213" s="666"/>
      <c r="AZ213" s="666"/>
    </row>
    <row r="214" spans="1:52" x14ac:dyDescent="0.2">
      <c r="A214" s="666"/>
      <c r="B214" s="666"/>
      <c r="C214" s="666"/>
      <c r="D214" s="666"/>
      <c r="E214" s="666"/>
      <c r="F214" s="666"/>
      <c r="G214" s="666"/>
      <c r="H214" s="666"/>
      <c r="I214" s="666"/>
      <c r="J214" s="666"/>
      <c r="K214" s="666"/>
      <c r="L214" s="666"/>
      <c r="M214" s="666"/>
      <c r="N214" s="666"/>
      <c r="O214" s="666"/>
      <c r="P214" s="666"/>
      <c r="Q214" s="666"/>
      <c r="R214" s="666"/>
      <c r="S214" s="666"/>
      <c r="T214" s="666"/>
      <c r="U214" s="666"/>
      <c r="V214" s="666"/>
      <c r="W214" s="666"/>
      <c r="X214" s="666"/>
      <c r="Y214" s="666"/>
      <c r="Z214" s="666"/>
      <c r="AA214" s="666"/>
      <c r="AB214" s="666"/>
      <c r="AC214" s="666"/>
      <c r="AD214" s="666"/>
      <c r="AE214" s="666"/>
      <c r="AF214" s="666"/>
      <c r="AG214" s="666"/>
      <c r="AH214" s="666"/>
      <c r="AI214" s="666"/>
      <c r="AJ214" s="666"/>
      <c r="AK214" s="666"/>
      <c r="AL214" s="666"/>
      <c r="AM214" s="666"/>
      <c r="AN214" s="666"/>
      <c r="AO214" s="666"/>
      <c r="AP214" s="666"/>
      <c r="AQ214" s="666"/>
      <c r="AR214" s="666"/>
      <c r="AS214" s="666"/>
      <c r="AT214" s="666"/>
      <c r="AU214" s="666"/>
      <c r="AV214" s="666"/>
      <c r="AW214" s="666"/>
      <c r="AX214" s="666"/>
      <c r="AY214" s="666"/>
      <c r="AZ214" s="666"/>
    </row>
    <row r="215" spans="1:52" x14ac:dyDescent="0.2">
      <c r="A215" s="666"/>
      <c r="B215" s="666"/>
      <c r="C215" s="666"/>
      <c r="D215" s="666"/>
      <c r="E215" s="666"/>
      <c r="F215" s="666"/>
      <c r="G215" s="666"/>
      <c r="H215" s="666"/>
      <c r="I215" s="666"/>
      <c r="J215" s="666"/>
      <c r="K215" s="666"/>
      <c r="L215" s="666"/>
      <c r="M215" s="666"/>
      <c r="N215" s="666"/>
      <c r="O215" s="666"/>
      <c r="P215" s="666"/>
      <c r="Q215" s="666"/>
      <c r="R215" s="666"/>
      <c r="S215" s="666"/>
      <c r="T215" s="666"/>
      <c r="U215" s="666"/>
      <c r="V215" s="666"/>
      <c r="W215" s="666"/>
      <c r="X215" s="666"/>
      <c r="Y215" s="666"/>
      <c r="Z215" s="666"/>
      <c r="AA215" s="666"/>
      <c r="AB215" s="666"/>
      <c r="AC215" s="666"/>
      <c r="AD215" s="666"/>
      <c r="AE215" s="666"/>
      <c r="AF215" s="666"/>
      <c r="AG215" s="666"/>
      <c r="AH215" s="666"/>
      <c r="AI215" s="666"/>
      <c r="AJ215" s="666"/>
      <c r="AK215" s="666"/>
      <c r="AL215" s="666"/>
      <c r="AM215" s="666"/>
      <c r="AN215" s="666"/>
      <c r="AO215" s="666"/>
      <c r="AP215" s="666"/>
      <c r="AQ215" s="666"/>
      <c r="AR215" s="666"/>
      <c r="AS215" s="666"/>
      <c r="AT215" s="666"/>
      <c r="AU215" s="666"/>
      <c r="AV215" s="666"/>
      <c r="AW215" s="666"/>
      <c r="AX215" s="666"/>
      <c r="AY215" s="666"/>
      <c r="AZ215" s="666"/>
    </row>
    <row r="216" spans="1:52" x14ac:dyDescent="0.2">
      <c r="A216" s="666"/>
      <c r="B216" s="666"/>
      <c r="C216" s="666"/>
      <c r="D216" s="666"/>
      <c r="E216" s="666"/>
      <c r="F216" s="666"/>
      <c r="G216" s="666"/>
      <c r="H216" s="666"/>
      <c r="I216" s="666"/>
      <c r="J216" s="666"/>
      <c r="K216" s="666"/>
      <c r="L216" s="666"/>
      <c r="M216" s="666"/>
      <c r="N216" s="666"/>
      <c r="O216" s="666"/>
      <c r="P216" s="666"/>
      <c r="Q216" s="666"/>
      <c r="R216" s="666"/>
      <c r="S216" s="666"/>
      <c r="T216" s="666"/>
      <c r="U216" s="666"/>
      <c r="V216" s="666"/>
      <c r="W216" s="666"/>
      <c r="X216" s="666"/>
      <c r="Y216" s="666"/>
      <c r="Z216" s="666"/>
      <c r="AA216" s="666"/>
      <c r="AB216" s="666"/>
      <c r="AC216" s="666"/>
      <c r="AD216" s="666"/>
      <c r="AE216" s="666"/>
      <c r="AF216" s="666"/>
      <c r="AG216" s="666"/>
      <c r="AH216" s="666"/>
      <c r="AI216" s="666"/>
      <c r="AJ216" s="666"/>
      <c r="AK216" s="666"/>
      <c r="AL216" s="666"/>
      <c r="AM216" s="666"/>
      <c r="AN216" s="666"/>
      <c r="AO216" s="666"/>
      <c r="AP216" s="666"/>
      <c r="AQ216" s="666"/>
      <c r="AR216" s="666"/>
      <c r="AS216" s="666"/>
      <c r="AT216" s="666"/>
      <c r="AU216" s="666"/>
      <c r="AV216" s="666"/>
      <c r="AW216" s="666"/>
      <c r="AX216" s="666"/>
      <c r="AY216" s="666"/>
      <c r="AZ216" s="666"/>
    </row>
    <row r="217" spans="1:52" x14ac:dyDescent="0.2">
      <c r="A217" s="666"/>
      <c r="B217" s="666"/>
      <c r="C217" s="666"/>
      <c r="D217" s="666"/>
      <c r="E217" s="666"/>
      <c r="F217" s="666"/>
      <c r="G217" s="666"/>
      <c r="H217" s="666"/>
      <c r="I217" s="666"/>
      <c r="J217" s="666"/>
      <c r="K217" s="666"/>
      <c r="L217" s="666"/>
      <c r="M217" s="666"/>
      <c r="N217" s="666"/>
      <c r="O217" s="666"/>
      <c r="P217" s="666"/>
      <c r="Q217" s="666"/>
      <c r="R217" s="666"/>
      <c r="S217" s="666"/>
      <c r="T217" s="666"/>
      <c r="U217" s="666"/>
      <c r="V217" s="666"/>
      <c r="W217" s="666"/>
      <c r="X217" s="666"/>
      <c r="Y217" s="666"/>
      <c r="Z217" s="666"/>
      <c r="AA217" s="666"/>
      <c r="AB217" s="666"/>
      <c r="AC217" s="666"/>
      <c r="AD217" s="666"/>
      <c r="AE217" s="666"/>
      <c r="AF217" s="666"/>
      <c r="AG217" s="666"/>
      <c r="AH217" s="666"/>
      <c r="AI217" s="666"/>
      <c r="AJ217" s="666"/>
      <c r="AK217" s="666"/>
      <c r="AL217" s="666"/>
      <c r="AM217" s="666"/>
      <c r="AN217" s="666"/>
      <c r="AO217" s="666"/>
      <c r="AP217" s="666"/>
      <c r="AQ217" s="666"/>
      <c r="AR217" s="666"/>
      <c r="AS217" s="666"/>
      <c r="AT217" s="666"/>
      <c r="AU217" s="666"/>
      <c r="AV217" s="666"/>
      <c r="AW217" s="666"/>
      <c r="AX217" s="666"/>
      <c r="AY217" s="666"/>
      <c r="AZ217" s="666"/>
    </row>
    <row r="218" spans="1:52" x14ac:dyDescent="0.2">
      <c r="A218" s="666"/>
      <c r="B218" s="666"/>
      <c r="C218" s="666"/>
      <c r="D218" s="666"/>
      <c r="E218" s="666"/>
      <c r="F218" s="666"/>
      <c r="G218" s="666"/>
      <c r="H218" s="666"/>
      <c r="I218" s="666"/>
      <c r="J218" s="666"/>
      <c r="K218" s="666"/>
      <c r="L218" s="666"/>
      <c r="M218" s="666"/>
      <c r="N218" s="666"/>
      <c r="O218" s="666"/>
      <c r="P218" s="666"/>
      <c r="Q218" s="666"/>
      <c r="R218" s="666"/>
      <c r="S218" s="666"/>
      <c r="T218" s="666"/>
      <c r="U218" s="666"/>
      <c r="V218" s="666"/>
      <c r="W218" s="666"/>
      <c r="X218" s="666"/>
      <c r="Y218" s="666"/>
      <c r="Z218" s="666"/>
      <c r="AA218" s="666"/>
      <c r="AB218" s="666"/>
      <c r="AC218" s="666"/>
      <c r="AD218" s="666"/>
      <c r="AE218" s="666"/>
      <c r="AF218" s="666"/>
      <c r="AG218" s="666"/>
      <c r="AH218" s="666"/>
      <c r="AI218" s="666"/>
      <c r="AJ218" s="666"/>
      <c r="AK218" s="666"/>
      <c r="AL218" s="666"/>
      <c r="AM218" s="666"/>
      <c r="AN218" s="666"/>
      <c r="AO218" s="666"/>
      <c r="AP218" s="666"/>
      <c r="AQ218" s="666"/>
      <c r="AR218" s="666"/>
      <c r="AS218" s="666"/>
      <c r="AT218" s="666"/>
      <c r="AU218" s="666"/>
      <c r="AV218" s="666"/>
      <c r="AW218" s="666"/>
      <c r="AX218" s="666"/>
      <c r="AY218" s="666"/>
      <c r="AZ218" s="666"/>
    </row>
    <row r="219" spans="1:52" x14ac:dyDescent="0.2">
      <c r="A219" s="666"/>
      <c r="B219" s="666"/>
      <c r="C219" s="666"/>
      <c r="D219" s="666"/>
      <c r="E219" s="666"/>
      <c r="F219" s="666"/>
      <c r="G219" s="666"/>
      <c r="H219" s="666"/>
      <c r="I219" s="666"/>
      <c r="J219" s="666"/>
      <c r="K219" s="666"/>
      <c r="L219" s="666"/>
      <c r="M219" s="666"/>
      <c r="N219" s="666"/>
      <c r="O219" s="666"/>
      <c r="P219" s="666"/>
      <c r="Q219" s="666"/>
      <c r="R219" s="666"/>
      <c r="S219" s="666"/>
      <c r="T219" s="666"/>
      <c r="U219" s="666"/>
      <c r="V219" s="666"/>
      <c r="W219" s="666"/>
      <c r="X219" s="666"/>
      <c r="Y219" s="666"/>
      <c r="Z219" s="666"/>
      <c r="AA219" s="666"/>
      <c r="AB219" s="666"/>
      <c r="AC219" s="666"/>
      <c r="AD219" s="666"/>
      <c r="AE219" s="666"/>
      <c r="AF219" s="666"/>
      <c r="AG219" s="666"/>
      <c r="AH219" s="666"/>
      <c r="AI219" s="666"/>
      <c r="AJ219" s="666"/>
      <c r="AK219" s="666"/>
      <c r="AL219" s="666"/>
      <c r="AM219" s="666"/>
      <c r="AN219" s="666"/>
      <c r="AO219" s="666"/>
      <c r="AP219" s="666"/>
      <c r="AQ219" s="666"/>
      <c r="AR219" s="666"/>
      <c r="AS219" s="666"/>
      <c r="AT219" s="666"/>
      <c r="AU219" s="666"/>
      <c r="AV219" s="666"/>
      <c r="AW219" s="666"/>
      <c r="AX219" s="666"/>
      <c r="AY219" s="666"/>
      <c r="AZ219" s="666"/>
    </row>
    <row r="220" spans="1:52" x14ac:dyDescent="0.2">
      <c r="A220" s="666"/>
      <c r="B220" s="666"/>
      <c r="C220" s="666"/>
      <c r="D220" s="666"/>
      <c r="E220" s="666"/>
      <c r="F220" s="666"/>
      <c r="G220" s="666"/>
      <c r="H220" s="666"/>
      <c r="I220" s="666"/>
      <c r="J220" s="666"/>
      <c r="K220" s="666"/>
      <c r="L220" s="666"/>
      <c r="M220" s="666"/>
      <c r="N220" s="666"/>
      <c r="O220" s="666"/>
      <c r="P220" s="666"/>
      <c r="Q220" s="666"/>
      <c r="R220" s="666"/>
      <c r="S220" s="666"/>
      <c r="T220" s="666"/>
      <c r="U220" s="666"/>
      <c r="V220" s="666"/>
      <c r="W220" s="666"/>
      <c r="X220" s="666"/>
      <c r="Y220" s="666"/>
      <c r="Z220" s="666"/>
      <c r="AA220" s="666"/>
      <c r="AB220" s="666"/>
      <c r="AC220" s="666"/>
      <c r="AD220" s="666"/>
      <c r="AE220" s="666"/>
      <c r="AF220" s="666"/>
      <c r="AG220" s="666"/>
      <c r="AH220" s="666"/>
      <c r="AI220" s="666"/>
      <c r="AJ220" s="666"/>
      <c r="AK220" s="666"/>
      <c r="AL220" s="666"/>
      <c r="AM220" s="666"/>
      <c r="AN220" s="666"/>
      <c r="AO220" s="666"/>
      <c r="AP220" s="666"/>
      <c r="AQ220" s="666"/>
      <c r="AR220" s="666"/>
      <c r="AS220" s="666"/>
      <c r="AT220" s="666"/>
      <c r="AU220" s="666"/>
      <c r="AV220" s="666"/>
      <c r="AW220" s="666"/>
      <c r="AX220" s="666"/>
      <c r="AY220" s="666"/>
      <c r="AZ220" s="666"/>
    </row>
    <row r="221" spans="1:52" x14ac:dyDescent="0.2">
      <c r="A221" s="666"/>
      <c r="B221" s="666"/>
      <c r="C221" s="666"/>
      <c r="D221" s="666"/>
      <c r="E221" s="666"/>
      <c r="F221" s="666"/>
      <c r="G221" s="666"/>
      <c r="H221" s="666"/>
      <c r="I221" s="666"/>
      <c r="J221" s="666"/>
      <c r="K221" s="666"/>
      <c r="L221" s="666"/>
      <c r="M221" s="666"/>
      <c r="N221" s="666"/>
      <c r="O221" s="666"/>
      <c r="P221" s="666"/>
      <c r="Q221" s="666"/>
      <c r="R221" s="666"/>
      <c r="S221" s="666"/>
      <c r="T221" s="666"/>
      <c r="U221" s="666"/>
      <c r="V221" s="666"/>
      <c r="W221" s="666"/>
      <c r="X221" s="666"/>
      <c r="Y221" s="666"/>
      <c r="Z221" s="666"/>
      <c r="AA221" s="666"/>
      <c r="AB221" s="666"/>
      <c r="AC221" s="666"/>
      <c r="AD221" s="666"/>
      <c r="AE221" s="666"/>
      <c r="AF221" s="666"/>
      <c r="AG221" s="666"/>
      <c r="AH221" s="666"/>
      <c r="AI221" s="666"/>
      <c r="AJ221" s="666"/>
      <c r="AK221" s="666"/>
      <c r="AL221" s="666"/>
      <c r="AM221" s="666"/>
      <c r="AN221" s="666"/>
      <c r="AO221" s="666"/>
      <c r="AP221" s="666"/>
      <c r="AQ221" s="666"/>
      <c r="AR221" s="666"/>
      <c r="AS221" s="666"/>
      <c r="AT221" s="666"/>
      <c r="AU221" s="666"/>
      <c r="AV221" s="666"/>
      <c r="AW221" s="666"/>
      <c r="AX221" s="666"/>
      <c r="AY221" s="666"/>
      <c r="AZ221" s="666"/>
    </row>
    <row r="222" spans="1:52" x14ac:dyDescent="0.2">
      <c r="A222" s="666"/>
      <c r="B222" s="666"/>
      <c r="C222" s="666"/>
      <c r="D222" s="666"/>
      <c r="E222" s="666"/>
      <c r="F222" s="666"/>
      <c r="G222" s="666"/>
      <c r="H222" s="666"/>
      <c r="I222" s="666"/>
      <c r="J222" s="666"/>
      <c r="K222" s="666"/>
      <c r="L222" s="666"/>
      <c r="M222" s="666"/>
      <c r="N222" s="666"/>
      <c r="O222" s="666"/>
      <c r="P222" s="666"/>
      <c r="Q222" s="666"/>
      <c r="R222" s="666"/>
      <c r="S222" s="666"/>
      <c r="T222" s="666"/>
      <c r="U222" s="666"/>
      <c r="V222" s="666"/>
      <c r="W222" s="666"/>
      <c r="X222" s="666"/>
      <c r="Y222" s="666"/>
      <c r="Z222" s="666"/>
      <c r="AA222" s="666"/>
      <c r="AB222" s="666"/>
      <c r="AC222" s="666"/>
      <c r="AD222" s="666"/>
      <c r="AE222" s="666"/>
      <c r="AF222" s="666"/>
      <c r="AG222" s="666"/>
      <c r="AH222" s="666"/>
      <c r="AI222" s="666"/>
      <c r="AJ222" s="666"/>
      <c r="AK222" s="666"/>
      <c r="AL222" s="666"/>
      <c r="AM222" s="666"/>
      <c r="AN222" s="666"/>
      <c r="AO222" s="666"/>
      <c r="AP222" s="666"/>
      <c r="AQ222" s="666"/>
      <c r="AR222" s="666"/>
      <c r="AS222" s="666"/>
      <c r="AT222" s="666"/>
      <c r="AU222" s="666"/>
      <c r="AV222" s="666"/>
      <c r="AW222" s="666"/>
      <c r="AX222" s="666"/>
      <c r="AY222" s="666"/>
      <c r="AZ222" s="666"/>
    </row>
    <row r="223" spans="1:52" x14ac:dyDescent="0.2">
      <c r="A223" s="666"/>
      <c r="B223" s="666"/>
      <c r="C223" s="666"/>
      <c r="D223" s="666"/>
      <c r="E223" s="666"/>
      <c r="F223" s="666"/>
      <c r="G223" s="666"/>
      <c r="H223" s="666"/>
      <c r="I223" s="666"/>
      <c r="J223" s="666"/>
      <c r="K223" s="666"/>
      <c r="L223" s="666"/>
      <c r="M223" s="666"/>
      <c r="N223" s="666"/>
      <c r="O223" s="666"/>
      <c r="P223" s="666"/>
      <c r="Q223" s="666"/>
      <c r="R223" s="666"/>
      <c r="S223" s="666"/>
      <c r="T223" s="666"/>
      <c r="U223" s="666"/>
      <c r="V223" s="666"/>
      <c r="W223" s="666"/>
      <c r="X223" s="666"/>
      <c r="Y223" s="666"/>
      <c r="Z223" s="666"/>
      <c r="AA223" s="666"/>
      <c r="AB223" s="666"/>
      <c r="AC223" s="666"/>
      <c r="AD223" s="666"/>
      <c r="AE223" s="666"/>
      <c r="AF223" s="666"/>
      <c r="AG223" s="666"/>
      <c r="AH223" s="666"/>
      <c r="AI223" s="666"/>
      <c r="AJ223" s="666"/>
      <c r="AK223" s="666"/>
      <c r="AL223" s="666"/>
      <c r="AM223" s="666"/>
      <c r="AN223" s="666"/>
      <c r="AO223" s="666"/>
      <c r="AP223" s="666"/>
      <c r="AQ223" s="666"/>
      <c r="AR223" s="666"/>
      <c r="AS223" s="666"/>
      <c r="AT223" s="666"/>
      <c r="AU223" s="666"/>
      <c r="AV223" s="666"/>
      <c r="AW223" s="666"/>
      <c r="AX223" s="666"/>
      <c r="AY223" s="666"/>
      <c r="AZ223" s="666"/>
    </row>
    <row r="224" spans="1:52" x14ac:dyDescent="0.2">
      <c r="A224" s="666"/>
      <c r="B224" s="666"/>
      <c r="C224" s="666"/>
      <c r="D224" s="666"/>
      <c r="E224" s="666"/>
      <c r="F224" s="666"/>
      <c r="G224" s="666"/>
      <c r="H224" s="666"/>
      <c r="I224" s="666"/>
      <c r="J224" s="666"/>
      <c r="K224" s="666"/>
      <c r="L224" s="666"/>
      <c r="M224" s="666"/>
      <c r="N224" s="666"/>
      <c r="O224" s="666"/>
      <c r="P224" s="666"/>
      <c r="Q224" s="666"/>
      <c r="R224" s="666"/>
      <c r="S224" s="666"/>
      <c r="T224" s="666"/>
      <c r="U224" s="666"/>
      <c r="V224" s="666"/>
      <c r="W224" s="666"/>
      <c r="X224" s="666"/>
      <c r="Y224" s="666"/>
      <c r="Z224" s="666"/>
      <c r="AA224" s="666"/>
      <c r="AB224" s="666"/>
      <c r="AC224" s="666"/>
      <c r="AD224" s="666"/>
      <c r="AE224" s="666"/>
      <c r="AF224" s="666"/>
      <c r="AG224" s="666"/>
      <c r="AH224" s="666"/>
      <c r="AI224" s="666"/>
      <c r="AJ224" s="666"/>
      <c r="AK224" s="666"/>
      <c r="AL224" s="666"/>
      <c r="AM224" s="666"/>
      <c r="AN224" s="666"/>
      <c r="AO224" s="666"/>
      <c r="AP224" s="666"/>
      <c r="AQ224" s="666"/>
      <c r="AR224" s="666"/>
      <c r="AS224" s="666"/>
      <c r="AT224" s="666"/>
      <c r="AU224" s="666"/>
      <c r="AV224" s="666"/>
      <c r="AW224" s="666"/>
      <c r="AX224" s="666"/>
      <c r="AY224" s="666"/>
      <c r="AZ224" s="666"/>
    </row>
    <row r="225" spans="1:52" x14ac:dyDescent="0.2">
      <c r="A225" s="666"/>
      <c r="B225" s="666"/>
      <c r="C225" s="666"/>
      <c r="D225" s="666"/>
      <c r="E225" s="666"/>
      <c r="F225" s="666"/>
      <c r="G225" s="666"/>
      <c r="H225" s="666"/>
      <c r="I225" s="666"/>
      <c r="J225" s="666"/>
      <c r="K225" s="666"/>
      <c r="L225" s="666"/>
      <c r="M225" s="666"/>
      <c r="N225" s="666"/>
      <c r="O225" s="666"/>
      <c r="P225" s="666"/>
      <c r="Q225" s="666"/>
      <c r="R225" s="666"/>
      <c r="S225" s="666"/>
      <c r="T225" s="666"/>
      <c r="U225" s="666"/>
      <c r="V225" s="666"/>
      <c r="W225" s="666"/>
      <c r="X225" s="666"/>
      <c r="Y225" s="666"/>
      <c r="Z225" s="666"/>
      <c r="AA225" s="666"/>
      <c r="AB225" s="666"/>
      <c r="AC225" s="666"/>
      <c r="AD225" s="666"/>
      <c r="AE225" s="666"/>
      <c r="AF225" s="666"/>
      <c r="AG225" s="666"/>
      <c r="AH225" s="666"/>
      <c r="AI225" s="666"/>
      <c r="AJ225" s="666"/>
      <c r="AK225" s="666"/>
      <c r="AL225" s="666"/>
      <c r="AM225" s="666"/>
      <c r="AN225" s="666"/>
      <c r="AO225" s="666"/>
      <c r="AP225" s="666"/>
      <c r="AQ225" s="666"/>
      <c r="AR225" s="666"/>
      <c r="AS225" s="666"/>
      <c r="AT225" s="666"/>
      <c r="AU225" s="666"/>
      <c r="AV225" s="666"/>
      <c r="AW225" s="666"/>
      <c r="AX225" s="666"/>
      <c r="AY225" s="666"/>
      <c r="AZ225" s="666"/>
    </row>
    <row r="226" spans="1:52" x14ac:dyDescent="0.2">
      <c r="A226" s="666"/>
      <c r="B226" s="666"/>
      <c r="C226" s="666"/>
      <c r="D226" s="666"/>
      <c r="E226" s="666"/>
      <c r="F226" s="666"/>
      <c r="G226" s="666"/>
      <c r="H226" s="666"/>
      <c r="I226" s="666"/>
      <c r="J226" s="666"/>
      <c r="K226" s="666"/>
      <c r="L226" s="666"/>
      <c r="M226" s="666"/>
      <c r="N226" s="666"/>
      <c r="O226" s="666"/>
      <c r="P226" s="666"/>
      <c r="Q226" s="666"/>
      <c r="R226" s="666"/>
      <c r="S226" s="666"/>
      <c r="T226" s="666"/>
      <c r="U226" s="666"/>
      <c r="V226" s="666"/>
      <c r="W226" s="666"/>
      <c r="X226" s="666"/>
      <c r="Y226" s="666"/>
      <c r="Z226" s="666"/>
      <c r="AA226" s="666"/>
      <c r="AB226" s="666"/>
      <c r="AC226" s="666"/>
      <c r="AD226" s="666"/>
      <c r="AE226" s="666"/>
      <c r="AF226" s="666"/>
      <c r="AG226" s="666"/>
      <c r="AH226" s="666"/>
      <c r="AI226" s="666"/>
      <c r="AJ226" s="666"/>
      <c r="AK226" s="666"/>
      <c r="AL226" s="666"/>
      <c r="AM226" s="666"/>
      <c r="AN226" s="666"/>
      <c r="AO226" s="666"/>
      <c r="AP226" s="666"/>
      <c r="AQ226" s="666"/>
      <c r="AR226" s="666"/>
      <c r="AS226" s="666"/>
      <c r="AT226" s="666"/>
      <c r="AU226" s="666"/>
      <c r="AV226" s="666"/>
      <c r="AW226" s="666"/>
      <c r="AX226" s="666"/>
      <c r="AY226" s="666"/>
      <c r="AZ226" s="666"/>
    </row>
    <row r="227" spans="1:52" x14ac:dyDescent="0.2">
      <c r="A227" s="666"/>
      <c r="B227" s="666"/>
      <c r="C227" s="666"/>
      <c r="D227" s="666"/>
      <c r="E227" s="666"/>
      <c r="F227" s="666"/>
      <c r="G227" s="666"/>
      <c r="H227" s="666"/>
      <c r="I227" s="666"/>
      <c r="J227" s="666"/>
      <c r="K227" s="666"/>
      <c r="L227" s="666"/>
      <c r="M227" s="666"/>
      <c r="N227" s="666"/>
      <c r="O227" s="666"/>
      <c r="P227" s="666"/>
      <c r="Q227" s="666"/>
      <c r="R227" s="666"/>
      <c r="S227" s="666"/>
      <c r="T227" s="666"/>
      <c r="U227" s="666"/>
      <c r="V227" s="666"/>
      <c r="W227" s="666"/>
      <c r="X227" s="666"/>
      <c r="Y227" s="666"/>
      <c r="Z227" s="666"/>
      <c r="AA227" s="666"/>
      <c r="AB227" s="666"/>
      <c r="AC227" s="666"/>
      <c r="AD227" s="666"/>
      <c r="AE227" s="666"/>
      <c r="AF227" s="666"/>
      <c r="AG227" s="666"/>
      <c r="AH227" s="666"/>
      <c r="AI227" s="666"/>
      <c r="AJ227" s="666"/>
      <c r="AK227" s="666"/>
      <c r="AL227" s="666"/>
      <c r="AM227" s="666"/>
      <c r="AN227" s="666"/>
      <c r="AO227" s="666"/>
      <c r="AP227" s="666"/>
      <c r="AQ227" s="666"/>
      <c r="AR227" s="666"/>
      <c r="AS227" s="666"/>
      <c r="AT227" s="666"/>
      <c r="AU227" s="666"/>
      <c r="AV227" s="666"/>
      <c r="AW227" s="666"/>
      <c r="AX227" s="666"/>
      <c r="AY227" s="666"/>
      <c r="AZ227" s="666"/>
    </row>
    <row r="228" spans="1:52" x14ac:dyDescent="0.2">
      <c r="A228" s="666"/>
      <c r="B228" s="666"/>
      <c r="C228" s="666"/>
      <c r="D228" s="666"/>
      <c r="E228" s="666"/>
      <c r="F228" s="666"/>
      <c r="G228" s="666"/>
      <c r="H228" s="666"/>
      <c r="I228" s="666"/>
      <c r="J228" s="666"/>
      <c r="K228" s="666"/>
      <c r="L228" s="666"/>
      <c r="M228" s="666"/>
      <c r="N228" s="666"/>
      <c r="O228" s="666"/>
      <c r="P228" s="666"/>
      <c r="Q228" s="666"/>
      <c r="R228" s="666"/>
      <c r="S228" s="666"/>
      <c r="T228" s="666"/>
      <c r="U228" s="666"/>
      <c r="V228" s="666"/>
      <c r="W228" s="666"/>
      <c r="X228" s="666"/>
      <c r="Y228" s="666"/>
      <c r="Z228" s="666"/>
      <c r="AA228" s="666"/>
      <c r="AB228" s="666"/>
      <c r="AC228" s="666"/>
      <c r="AD228" s="666"/>
      <c r="AE228" s="666"/>
      <c r="AF228" s="666"/>
      <c r="AG228" s="666"/>
      <c r="AH228" s="666"/>
      <c r="AI228" s="666"/>
      <c r="AJ228" s="666"/>
      <c r="AK228" s="666"/>
      <c r="AL228" s="666"/>
      <c r="AM228" s="666"/>
      <c r="AN228" s="666"/>
      <c r="AO228" s="666"/>
      <c r="AP228" s="666"/>
      <c r="AQ228" s="666"/>
      <c r="AR228" s="666"/>
      <c r="AS228" s="666"/>
      <c r="AT228" s="666"/>
      <c r="AU228" s="666"/>
      <c r="AV228" s="666"/>
      <c r="AW228" s="666"/>
      <c r="AX228" s="666"/>
      <c r="AY228" s="666"/>
      <c r="AZ228" s="666"/>
    </row>
    <row r="229" spans="1:52" x14ac:dyDescent="0.2">
      <c r="A229" s="666"/>
      <c r="B229" s="666"/>
      <c r="C229" s="666"/>
      <c r="D229" s="666"/>
      <c r="E229" s="666"/>
      <c r="F229" s="666"/>
      <c r="G229" s="666"/>
      <c r="H229" s="666"/>
      <c r="I229" s="666"/>
      <c r="J229" s="666"/>
      <c r="K229" s="666"/>
      <c r="L229" s="666"/>
      <c r="M229" s="666"/>
      <c r="N229" s="666"/>
      <c r="O229" s="666"/>
      <c r="P229" s="666"/>
      <c r="Q229" s="666"/>
      <c r="R229" s="666"/>
      <c r="S229" s="666"/>
      <c r="T229" s="666"/>
      <c r="U229" s="666"/>
      <c r="V229" s="666"/>
      <c r="W229" s="666"/>
      <c r="X229" s="666"/>
      <c r="Y229" s="666"/>
      <c r="Z229" s="666"/>
      <c r="AA229" s="666"/>
      <c r="AB229" s="666"/>
      <c r="AC229" s="666"/>
      <c r="AD229" s="666"/>
      <c r="AE229" s="666"/>
      <c r="AF229" s="666"/>
      <c r="AG229" s="666"/>
      <c r="AH229" s="666"/>
      <c r="AI229" s="666"/>
      <c r="AJ229" s="666"/>
      <c r="AK229" s="666"/>
      <c r="AL229" s="666"/>
      <c r="AM229" s="666"/>
      <c r="AN229" s="666"/>
      <c r="AO229" s="666"/>
      <c r="AP229" s="666"/>
      <c r="AQ229" s="666"/>
      <c r="AR229" s="666"/>
      <c r="AS229" s="666"/>
      <c r="AT229" s="666"/>
      <c r="AU229" s="666"/>
      <c r="AV229" s="666"/>
      <c r="AW229" s="666"/>
      <c r="AX229" s="666"/>
      <c r="AY229" s="666"/>
      <c r="AZ229" s="666"/>
    </row>
    <row r="230" spans="1:52" x14ac:dyDescent="0.2">
      <c r="A230" s="666"/>
      <c r="B230" s="666"/>
      <c r="C230" s="666"/>
      <c r="D230" s="666"/>
      <c r="E230" s="666"/>
      <c r="F230" s="666"/>
      <c r="G230" s="666"/>
      <c r="H230" s="666"/>
      <c r="I230" s="666"/>
      <c r="J230" s="666"/>
      <c r="K230" s="666"/>
      <c r="L230" s="666"/>
      <c r="M230" s="666"/>
      <c r="N230" s="666"/>
      <c r="O230" s="666"/>
      <c r="P230" s="666"/>
      <c r="Q230" s="666"/>
      <c r="R230" s="666"/>
      <c r="S230" s="666"/>
      <c r="T230" s="666"/>
      <c r="U230" s="666"/>
      <c r="V230" s="666"/>
      <c r="W230" s="666"/>
      <c r="X230" s="666"/>
      <c r="Y230" s="666"/>
      <c r="Z230" s="666"/>
      <c r="AA230" s="666"/>
      <c r="AB230" s="666"/>
      <c r="AC230" s="666"/>
      <c r="AD230" s="666"/>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row>
    <row r="231" spans="1:52" x14ac:dyDescent="0.2">
      <c r="A231" s="666"/>
      <c r="B231" s="666"/>
      <c r="C231" s="666"/>
      <c r="D231" s="666"/>
      <c r="E231" s="666"/>
      <c r="F231" s="666"/>
      <c r="G231" s="666"/>
      <c r="H231" s="666"/>
      <c r="I231" s="666"/>
      <c r="J231" s="666"/>
      <c r="K231" s="666"/>
      <c r="L231" s="666"/>
      <c r="M231" s="666"/>
      <c r="N231" s="666"/>
      <c r="O231" s="666"/>
      <c r="P231" s="666"/>
      <c r="Q231" s="666"/>
      <c r="R231" s="666"/>
      <c r="S231" s="666"/>
      <c r="T231" s="666"/>
      <c r="U231" s="666"/>
      <c r="V231" s="666"/>
      <c r="W231" s="666"/>
      <c r="X231" s="666"/>
      <c r="Y231" s="666"/>
      <c r="Z231" s="666"/>
      <c r="AA231" s="666"/>
      <c r="AB231" s="666"/>
      <c r="AC231" s="666"/>
      <c r="AD231" s="666"/>
      <c r="AE231" s="666"/>
      <c r="AF231" s="666"/>
      <c r="AG231" s="666"/>
      <c r="AH231" s="666"/>
      <c r="AI231" s="666"/>
      <c r="AJ231" s="666"/>
      <c r="AK231" s="666"/>
      <c r="AL231" s="666"/>
      <c r="AM231" s="666"/>
      <c r="AN231" s="666"/>
      <c r="AO231" s="666"/>
      <c r="AP231" s="666"/>
      <c r="AQ231" s="666"/>
      <c r="AR231" s="666"/>
      <c r="AS231" s="666"/>
      <c r="AT231" s="666"/>
      <c r="AU231" s="666"/>
      <c r="AV231" s="666"/>
      <c r="AW231" s="666"/>
      <c r="AX231" s="666"/>
      <c r="AY231" s="666"/>
      <c r="AZ231" s="666"/>
    </row>
    <row r="232" spans="1:52" x14ac:dyDescent="0.2">
      <c r="A232" s="666"/>
      <c r="B232" s="666"/>
      <c r="C232" s="666"/>
      <c r="D232" s="666"/>
      <c r="E232" s="666"/>
      <c r="F232" s="666"/>
      <c r="G232" s="666"/>
      <c r="H232" s="666"/>
      <c r="I232" s="666"/>
      <c r="J232" s="666"/>
      <c r="K232" s="666"/>
      <c r="L232" s="666"/>
      <c r="M232" s="666"/>
      <c r="N232" s="666"/>
      <c r="O232" s="666"/>
      <c r="P232" s="666"/>
      <c r="Q232" s="666"/>
      <c r="R232" s="666"/>
      <c r="S232" s="666"/>
      <c r="T232" s="666"/>
      <c r="U232" s="666"/>
      <c r="V232" s="666"/>
      <c r="W232" s="666"/>
      <c r="X232" s="666"/>
      <c r="Y232" s="666"/>
      <c r="Z232" s="666"/>
      <c r="AA232" s="666"/>
      <c r="AB232" s="666"/>
      <c r="AC232" s="666"/>
      <c r="AD232" s="666"/>
      <c r="AE232" s="666"/>
      <c r="AF232" s="666"/>
      <c r="AG232" s="666"/>
      <c r="AH232" s="666"/>
      <c r="AI232" s="666"/>
      <c r="AJ232" s="666"/>
      <c r="AK232" s="666"/>
      <c r="AL232" s="666"/>
      <c r="AM232" s="666"/>
      <c r="AN232" s="666"/>
      <c r="AO232" s="666"/>
      <c r="AP232" s="666"/>
      <c r="AQ232" s="666"/>
      <c r="AR232" s="666"/>
      <c r="AS232" s="666"/>
      <c r="AT232" s="666"/>
      <c r="AU232" s="666"/>
      <c r="AV232" s="666"/>
      <c r="AW232" s="666"/>
      <c r="AX232" s="666"/>
      <c r="AY232" s="666"/>
      <c r="AZ232" s="666"/>
    </row>
    <row r="233" spans="1:52" x14ac:dyDescent="0.2">
      <c r="A233" s="666"/>
      <c r="B233" s="666"/>
      <c r="C233" s="666"/>
      <c r="D233" s="666"/>
      <c r="E233" s="666"/>
      <c r="F233" s="666"/>
      <c r="G233" s="666"/>
      <c r="H233" s="666"/>
      <c r="I233" s="666"/>
      <c r="J233" s="666"/>
      <c r="K233" s="666"/>
      <c r="L233" s="666"/>
      <c r="M233" s="666"/>
      <c r="N233" s="666"/>
      <c r="O233" s="666"/>
      <c r="P233" s="666"/>
      <c r="Q233" s="666"/>
      <c r="R233" s="666"/>
      <c r="S233" s="666"/>
      <c r="T233" s="666"/>
      <c r="U233" s="666"/>
      <c r="V233" s="666"/>
      <c r="W233" s="666"/>
      <c r="X233" s="666"/>
      <c r="Y233" s="666"/>
      <c r="Z233" s="666"/>
      <c r="AA233" s="666"/>
      <c r="AB233" s="666"/>
      <c r="AC233" s="666"/>
      <c r="AD233" s="666"/>
      <c r="AE233" s="666"/>
      <c r="AF233" s="666"/>
      <c r="AG233" s="666"/>
      <c r="AH233" s="666"/>
      <c r="AI233" s="666"/>
      <c r="AJ233" s="666"/>
      <c r="AK233" s="666"/>
      <c r="AL233" s="666"/>
      <c r="AM233" s="666"/>
      <c r="AN233" s="666"/>
      <c r="AO233" s="666"/>
      <c r="AP233" s="666"/>
      <c r="AQ233" s="666"/>
      <c r="AR233" s="666"/>
      <c r="AS233" s="666"/>
      <c r="AT233" s="666"/>
      <c r="AU233" s="666"/>
      <c r="AV233" s="666"/>
      <c r="AW233" s="666"/>
      <c r="AX233" s="666"/>
      <c r="AY233" s="666"/>
      <c r="AZ233" s="666"/>
    </row>
    <row r="234" spans="1:52" x14ac:dyDescent="0.2">
      <c r="A234" s="666"/>
      <c r="B234" s="666"/>
      <c r="C234" s="666"/>
      <c r="D234" s="666"/>
      <c r="E234" s="666"/>
      <c r="F234" s="666"/>
      <c r="G234" s="666"/>
      <c r="H234" s="666"/>
      <c r="I234" s="666"/>
      <c r="J234" s="666"/>
      <c r="K234" s="666"/>
      <c r="L234" s="666"/>
      <c r="M234" s="666"/>
      <c r="N234" s="666"/>
      <c r="O234" s="666"/>
      <c r="P234" s="666"/>
      <c r="Q234" s="666"/>
      <c r="R234" s="666"/>
      <c r="S234" s="666"/>
      <c r="T234" s="666"/>
      <c r="U234" s="666"/>
      <c r="V234" s="666"/>
      <c r="W234" s="666"/>
      <c r="X234" s="666"/>
      <c r="Y234" s="666"/>
      <c r="Z234" s="666"/>
      <c r="AA234" s="666"/>
      <c r="AB234" s="666"/>
      <c r="AC234" s="666"/>
      <c r="AD234" s="666"/>
      <c r="AE234" s="666"/>
      <c r="AF234" s="666"/>
      <c r="AG234" s="666"/>
      <c r="AH234" s="666"/>
      <c r="AI234" s="666"/>
      <c r="AJ234" s="666"/>
      <c r="AK234" s="666"/>
      <c r="AL234" s="666"/>
      <c r="AM234" s="666"/>
      <c r="AN234" s="666"/>
      <c r="AO234" s="666"/>
      <c r="AP234" s="666"/>
      <c r="AQ234" s="666"/>
      <c r="AR234" s="666"/>
      <c r="AS234" s="666"/>
      <c r="AT234" s="666"/>
      <c r="AU234" s="666"/>
      <c r="AV234" s="666"/>
      <c r="AW234" s="666"/>
      <c r="AX234" s="666"/>
      <c r="AY234" s="666"/>
      <c r="AZ234" s="666"/>
    </row>
    <row r="235" spans="1:52" x14ac:dyDescent="0.2">
      <c r="A235" s="666"/>
      <c r="B235" s="666"/>
      <c r="C235" s="666"/>
      <c r="D235" s="666"/>
      <c r="E235" s="666"/>
      <c r="F235" s="666"/>
      <c r="G235" s="666"/>
      <c r="H235" s="666"/>
      <c r="I235" s="666"/>
      <c r="J235" s="666"/>
      <c r="K235" s="666"/>
      <c r="L235" s="666"/>
      <c r="M235" s="666"/>
      <c r="N235" s="666"/>
      <c r="O235" s="666"/>
      <c r="P235" s="666"/>
      <c r="Q235" s="666"/>
      <c r="R235" s="666"/>
      <c r="S235" s="666"/>
      <c r="T235" s="666"/>
      <c r="U235" s="666"/>
      <c r="V235" s="666"/>
      <c r="W235" s="666"/>
      <c r="X235" s="666"/>
      <c r="Y235" s="666"/>
      <c r="Z235" s="666"/>
      <c r="AA235" s="666"/>
      <c r="AB235" s="666"/>
      <c r="AC235" s="666"/>
      <c r="AD235" s="666"/>
      <c r="AE235" s="666"/>
      <c r="AF235" s="666"/>
      <c r="AG235" s="666"/>
      <c r="AH235" s="666"/>
      <c r="AI235" s="666"/>
      <c r="AJ235" s="666"/>
      <c r="AK235" s="666"/>
      <c r="AL235" s="666"/>
      <c r="AM235" s="666"/>
      <c r="AN235" s="666"/>
      <c r="AO235" s="666"/>
      <c r="AP235" s="666"/>
      <c r="AQ235" s="666"/>
      <c r="AR235" s="666"/>
      <c r="AS235" s="666"/>
      <c r="AT235" s="666"/>
      <c r="AU235" s="666"/>
      <c r="AV235" s="666"/>
      <c r="AW235" s="666"/>
      <c r="AX235" s="666"/>
      <c r="AY235" s="666"/>
      <c r="AZ235" s="666"/>
    </row>
    <row r="236" spans="1:52" x14ac:dyDescent="0.2">
      <c r="A236" s="666"/>
      <c r="B236" s="666"/>
      <c r="C236" s="666"/>
      <c r="D236" s="666"/>
      <c r="E236" s="666"/>
      <c r="F236" s="666"/>
      <c r="G236" s="666"/>
      <c r="H236" s="666"/>
      <c r="I236" s="666"/>
      <c r="J236" s="666"/>
      <c r="K236" s="666"/>
      <c r="L236" s="666"/>
      <c r="M236" s="666"/>
      <c r="N236" s="666"/>
      <c r="O236" s="666"/>
      <c r="P236" s="666"/>
      <c r="Q236" s="666"/>
      <c r="R236" s="666"/>
      <c r="S236" s="666"/>
      <c r="T236" s="666"/>
      <c r="U236" s="666"/>
      <c r="V236" s="666"/>
      <c r="W236" s="666"/>
      <c r="X236" s="666"/>
      <c r="Y236" s="666"/>
      <c r="Z236" s="666"/>
      <c r="AA236" s="666"/>
      <c r="AB236" s="666"/>
      <c r="AC236" s="666"/>
      <c r="AD236" s="666"/>
      <c r="AE236" s="666"/>
      <c r="AF236" s="666"/>
      <c r="AG236" s="666"/>
      <c r="AH236" s="666"/>
      <c r="AI236" s="666"/>
      <c r="AJ236" s="666"/>
      <c r="AK236" s="666"/>
      <c r="AL236" s="666"/>
      <c r="AM236" s="666"/>
      <c r="AN236" s="666"/>
      <c r="AO236" s="666"/>
      <c r="AP236" s="666"/>
      <c r="AQ236" s="666"/>
      <c r="AR236" s="666"/>
      <c r="AS236" s="666"/>
      <c r="AT236" s="666"/>
      <c r="AU236" s="666"/>
      <c r="AV236" s="666"/>
      <c r="AW236" s="666"/>
      <c r="AX236" s="666"/>
      <c r="AY236" s="666"/>
      <c r="AZ236" s="666"/>
    </row>
    <row r="237" spans="1:52" x14ac:dyDescent="0.2">
      <c r="A237" s="666"/>
      <c r="B237" s="666"/>
      <c r="C237" s="666"/>
      <c r="D237" s="666"/>
      <c r="E237" s="666"/>
      <c r="F237" s="666"/>
      <c r="G237" s="666"/>
      <c r="H237" s="666"/>
      <c r="I237" s="666"/>
      <c r="J237" s="666"/>
      <c r="K237" s="666"/>
      <c r="L237" s="666"/>
      <c r="M237" s="666"/>
      <c r="N237" s="666"/>
      <c r="O237" s="666"/>
      <c r="P237" s="666"/>
      <c r="Q237" s="666"/>
      <c r="R237" s="666"/>
      <c r="S237" s="666"/>
      <c r="T237" s="666"/>
      <c r="U237" s="666"/>
      <c r="V237" s="666"/>
      <c r="W237" s="666"/>
      <c r="X237" s="666"/>
      <c r="Y237" s="666"/>
      <c r="Z237" s="666"/>
      <c r="AA237" s="666"/>
      <c r="AB237" s="666"/>
      <c r="AC237" s="666"/>
      <c r="AD237" s="666"/>
      <c r="AE237" s="666"/>
      <c r="AF237" s="666"/>
      <c r="AG237" s="666"/>
      <c r="AH237" s="666"/>
      <c r="AI237" s="666"/>
      <c r="AJ237" s="666"/>
      <c r="AK237" s="666"/>
      <c r="AL237" s="666"/>
      <c r="AM237" s="666"/>
      <c r="AN237" s="666"/>
      <c r="AO237" s="666"/>
      <c r="AP237" s="666"/>
      <c r="AQ237" s="666"/>
      <c r="AR237" s="666"/>
      <c r="AS237" s="666"/>
      <c r="AT237" s="666"/>
      <c r="AU237" s="666"/>
      <c r="AV237" s="666"/>
      <c r="AW237" s="666"/>
      <c r="AX237" s="666"/>
      <c r="AY237" s="666"/>
      <c r="AZ237" s="666"/>
    </row>
    <row r="238" spans="1:52" x14ac:dyDescent="0.2">
      <c r="A238" s="666"/>
      <c r="B238" s="666"/>
      <c r="C238" s="666"/>
      <c r="D238" s="666"/>
      <c r="E238" s="666"/>
      <c r="F238" s="666"/>
      <c r="G238" s="666"/>
      <c r="H238" s="666"/>
      <c r="I238" s="666"/>
      <c r="J238" s="666"/>
      <c r="K238" s="666"/>
      <c r="L238" s="666"/>
      <c r="M238" s="666"/>
      <c r="N238" s="666"/>
      <c r="O238" s="666"/>
      <c r="P238" s="666"/>
      <c r="Q238" s="666"/>
      <c r="R238" s="666"/>
      <c r="S238" s="666"/>
      <c r="T238" s="666"/>
      <c r="U238" s="666"/>
      <c r="V238" s="666"/>
      <c r="W238" s="666"/>
      <c r="X238" s="666"/>
      <c r="Y238" s="666"/>
      <c r="Z238" s="666"/>
      <c r="AA238" s="666"/>
      <c r="AB238" s="666"/>
      <c r="AC238" s="666"/>
      <c r="AD238" s="666"/>
      <c r="AE238" s="666"/>
      <c r="AF238" s="666"/>
      <c r="AG238" s="666"/>
      <c r="AH238" s="666"/>
      <c r="AI238" s="666"/>
      <c r="AJ238" s="666"/>
      <c r="AK238" s="666"/>
      <c r="AL238" s="666"/>
      <c r="AM238" s="666"/>
      <c r="AN238" s="666"/>
      <c r="AO238" s="666"/>
      <c r="AP238" s="666"/>
      <c r="AQ238" s="666"/>
      <c r="AR238" s="666"/>
      <c r="AS238" s="666"/>
      <c r="AT238" s="666"/>
      <c r="AU238" s="666"/>
      <c r="AV238" s="666"/>
      <c r="AW238" s="666"/>
      <c r="AX238" s="666"/>
      <c r="AY238" s="666"/>
      <c r="AZ238" s="666"/>
    </row>
    <row r="239" spans="1:52" x14ac:dyDescent="0.2">
      <c r="A239" s="666"/>
      <c r="B239" s="666"/>
      <c r="C239" s="666"/>
      <c r="D239" s="666"/>
      <c r="E239" s="666"/>
      <c r="F239" s="666"/>
      <c r="G239" s="666"/>
      <c r="H239" s="666"/>
      <c r="I239" s="666"/>
      <c r="J239" s="666"/>
      <c r="K239" s="666"/>
      <c r="L239" s="666"/>
      <c r="M239" s="666"/>
      <c r="N239" s="666"/>
      <c r="O239" s="666"/>
      <c r="P239" s="666"/>
      <c r="Q239" s="666"/>
      <c r="R239" s="666"/>
      <c r="S239" s="666"/>
      <c r="T239" s="666"/>
      <c r="U239" s="666"/>
      <c r="V239" s="666"/>
      <c r="W239" s="666"/>
      <c r="X239" s="666"/>
      <c r="Y239" s="666"/>
      <c r="Z239" s="666"/>
      <c r="AA239" s="666"/>
      <c r="AB239" s="666"/>
      <c r="AC239" s="666"/>
      <c r="AD239" s="666"/>
      <c r="AE239" s="666"/>
      <c r="AF239" s="666"/>
      <c r="AG239" s="666"/>
      <c r="AH239" s="666"/>
      <c r="AI239" s="666"/>
      <c r="AJ239" s="666"/>
      <c r="AK239" s="666"/>
      <c r="AL239" s="666"/>
      <c r="AM239" s="666"/>
      <c r="AN239" s="666"/>
      <c r="AO239" s="666"/>
      <c r="AP239" s="666"/>
      <c r="AQ239" s="666"/>
      <c r="AR239" s="666"/>
      <c r="AS239" s="666"/>
      <c r="AT239" s="666"/>
      <c r="AU239" s="666"/>
      <c r="AV239" s="666"/>
      <c r="AW239" s="666"/>
      <c r="AX239" s="666"/>
      <c r="AY239" s="666"/>
      <c r="AZ239" s="666"/>
    </row>
    <row r="240" spans="1:52" x14ac:dyDescent="0.2">
      <c r="A240" s="666"/>
      <c r="B240" s="666"/>
      <c r="C240" s="666"/>
      <c r="D240" s="666"/>
      <c r="E240" s="666"/>
      <c r="F240" s="666"/>
      <c r="G240" s="666"/>
      <c r="H240" s="666"/>
      <c r="I240" s="666"/>
      <c r="J240" s="666"/>
      <c r="K240" s="666"/>
      <c r="L240" s="666"/>
      <c r="M240" s="666"/>
      <c r="N240" s="666"/>
      <c r="O240" s="666"/>
      <c r="P240" s="666"/>
      <c r="Q240" s="666"/>
      <c r="R240" s="666"/>
      <c r="S240" s="666"/>
      <c r="T240" s="666"/>
      <c r="U240" s="666"/>
      <c r="V240" s="666"/>
      <c r="W240" s="666"/>
      <c r="X240" s="666"/>
      <c r="Y240" s="666"/>
      <c r="Z240" s="666"/>
      <c r="AA240" s="666"/>
      <c r="AB240" s="666"/>
      <c r="AC240" s="666"/>
      <c r="AD240" s="666"/>
      <c r="AE240" s="666"/>
      <c r="AF240" s="666"/>
      <c r="AG240" s="666"/>
      <c r="AH240" s="666"/>
      <c r="AI240" s="666"/>
      <c r="AJ240" s="666"/>
      <c r="AK240" s="666"/>
      <c r="AL240" s="666"/>
      <c r="AM240" s="666"/>
      <c r="AN240" s="666"/>
      <c r="AO240" s="666"/>
      <c r="AP240" s="666"/>
      <c r="AQ240" s="666"/>
      <c r="AR240" s="666"/>
      <c r="AS240" s="666"/>
      <c r="AT240" s="666"/>
      <c r="AU240" s="666"/>
      <c r="AV240" s="666"/>
      <c r="AW240" s="666"/>
      <c r="AX240" s="666"/>
      <c r="AY240" s="666"/>
      <c r="AZ240" s="666"/>
    </row>
    <row r="241" spans="1:52" x14ac:dyDescent="0.2">
      <c r="A241" s="666"/>
      <c r="B241" s="666"/>
      <c r="C241" s="666"/>
      <c r="D241" s="666"/>
      <c r="E241" s="666"/>
      <c r="F241" s="666"/>
      <c r="G241" s="666"/>
      <c r="H241" s="666"/>
      <c r="I241" s="666"/>
      <c r="J241" s="666"/>
      <c r="K241" s="666"/>
      <c r="L241" s="666"/>
      <c r="M241" s="666"/>
      <c r="N241" s="666"/>
      <c r="O241" s="666"/>
      <c r="P241" s="666"/>
      <c r="Q241" s="666"/>
      <c r="R241" s="666"/>
      <c r="S241" s="666"/>
      <c r="T241" s="666"/>
      <c r="U241" s="666"/>
      <c r="V241" s="666"/>
      <c r="W241" s="666"/>
      <c r="X241" s="666"/>
      <c r="Y241" s="666"/>
      <c r="Z241" s="666"/>
      <c r="AA241" s="666"/>
      <c r="AB241" s="666"/>
      <c r="AC241" s="666"/>
      <c r="AD241" s="666"/>
      <c r="AE241" s="666"/>
      <c r="AF241" s="666"/>
      <c r="AG241" s="666"/>
      <c r="AH241" s="666"/>
      <c r="AI241" s="666"/>
      <c r="AJ241" s="666"/>
      <c r="AK241" s="666"/>
      <c r="AL241" s="666"/>
      <c r="AM241" s="666"/>
      <c r="AN241" s="666"/>
      <c r="AO241" s="666"/>
      <c r="AP241" s="666"/>
      <c r="AQ241" s="666"/>
      <c r="AR241" s="666"/>
      <c r="AS241" s="666"/>
      <c r="AT241" s="666"/>
      <c r="AU241" s="666"/>
      <c r="AV241" s="666"/>
      <c r="AW241" s="666"/>
      <c r="AX241" s="666"/>
      <c r="AY241" s="666"/>
      <c r="AZ241" s="666"/>
    </row>
    <row r="242" spans="1:52" x14ac:dyDescent="0.2">
      <c r="A242" s="666"/>
      <c r="B242" s="666"/>
      <c r="C242" s="666"/>
      <c r="D242" s="666"/>
      <c r="E242" s="666"/>
      <c r="F242" s="666"/>
      <c r="G242" s="666"/>
      <c r="H242" s="666"/>
      <c r="I242" s="666"/>
      <c r="J242" s="666"/>
      <c r="K242" s="666"/>
      <c r="L242" s="666"/>
      <c r="M242" s="666"/>
      <c r="N242" s="666"/>
      <c r="O242" s="666"/>
      <c r="P242" s="666"/>
      <c r="Q242" s="666"/>
      <c r="R242" s="666"/>
      <c r="S242" s="666"/>
      <c r="T242" s="666"/>
      <c r="U242" s="666"/>
      <c r="V242" s="666"/>
      <c r="W242" s="666"/>
      <c r="X242" s="666"/>
      <c r="Y242" s="666"/>
      <c r="Z242" s="666"/>
      <c r="AA242" s="666"/>
      <c r="AB242" s="666"/>
      <c r="AC242" s="666"/>
      <c r="AD242" s="666"/>
      <c r="AE242" s="666"/>
      <c r="AF242" s="666"/>
      <c r="AG242" s="666"/>
      <c r="AH242" s="666"/>
      <c r="AI242" s="666"/>
      <c r="AJ242" s="666"/>
      <c r="AK242" s="666"/>
      <c r="AL242" s="666"/>
      <c r="AM242" s="666"/>
      <c r="AN242" s="666"/>
      <c r="AO242" s="666"/>
      <c r="AP242" s="666"/>
      <c r="AQ242" s="666"/>
      <c r="AR242" s="666"/>
      <c r="AS242" s="666"/>
      <c r="AT242" s="666"/>
      <c r="AU242" s="666"/>
      <c r="AV242" s="666"/>
      <c r="AW242" s="666"/>
      <c r="AX242" s="666"/>
      <c r="AY242" s="666"/>
      <c r="AZ242" s="666"/>
    </row>
    <row r="243" spans="1:52" x14ac:dyDescent="0.2">
      <c r="A243" s="666"/>
      <c r="B243" s="666"/>
      <c r="C243" s="666"/>
      <c r="D243" s="666"/>
      <c r="E243" s="666"/>
      <c r="F243" s="666"/>
      <c r="G243" s="666"/>
      <c r="H243" s="666"/>
      <c r="I243" s="666"/>
      <c r="J243" s="666"/>
      <c r="K243" s="666"/>
      <c r="L243" s="666"/>
      <c r="M243" s="666"/>
      <c r="N243" s="666"/>
      <c r="O243" s="666"/>
      <c r="P243" s="666"/>
      <c r="Q243" s="666"/>
      <c r="R243" s="666"/>
      <c r="S243" s="666"/>
      <c r="T243" s="666"/>
      <c r="U243" s="666"/>
      <c r="V243" s="666"/>
      <c r="W243" s="666"/>
      <c r="X243" s="666"/>
      <c r="Y243" s="666"/>
      <c r="Z243" s="666"/>
      <c r="AA243" s="666"/>
      <c r="AB243" s="666"/>
      <c r="AC243" s="666"/>
      <c r="AD243" s="666"/>
      <c r="AE243" s="666"/>
      <c r="AF243" s="666"/>
      <c r="AG243" s="666"/>
      <c r="AH243" s="666"/>
      <c r="AI243" s="666"/>
      <c r="AJ243" s="666"/>
      <c r="AK243" s="666"/>
      <c r="AL243" s="666"/>
      <c r="AM243" s="666"/>
      <c r="AN243" s="666"/>
      <c r="AO243" s="666"/>
      <c r="AP243" s="666"/>
      <c r="AQ243" s="666"/>
      <c r="AR243" s="666"/>
      <c r="AS243" s="666"/>
      <c r="AT243" s="666"/>
      <c r="AU243" s="666"/>
      <c r="AV243" s="666"/>
      <c r="AW243" s="666"/>
      <c r="AX243" s="666"/>
      <c r="AY243" s="666"/>
      <c r="AZ243" s="666"/>
    </row>
    <row r="244" spans="1:52" x14ac:dyDescent="0.2">
      <c r="A244" s="666"/>
      <c r="B244" s="666"/>
      <c r="C244" s="666"/>
      <c r="D244" s="666"/>
      <c r="E244" s="666"/>
      <c r="F244" s="666"/>
      <c r="G244" s="666"/>
      <c r="H244" s="666"/>
      <c r="I244" s="666"/>
      <c r="J244" s="666"/>
      <c r="K244" s="666"/>
      <c r="L244" s="666"/>
      <c r="M244" s="666"/>
      <c r="N244" s="666"/>
      <c r="O244" s="666"/>
      <c r="P244" s="666"/>
      <c r="Q244" s="666"/>
      <c r="R244" s="666"/>
      <c r="S244" s="666"/>
      <c r="T244" s="666"/>
      <c r="U244" s="666"/>
      <c r="V244" s="666"/>
      <c r="W244" s="666"/>
      <c r="X244" s="666"/>
      <c r="Y244" s="666"/>
      <c r="Z244" s="666"/>
      <c r="AA244" s="666"/>
      <c r="AB244" s="666"/>
      <c r="AC244" s="666"/>
      <c r="AD244" s="666"/>
      <c r="AE244" s="666"/>
      <c r="AF244" s="666"/>
      <c r="AG244" s="666"/>
      <c r="AH244" s="666"/>
      <c r="AI244" s="666"/>
      <c r="AJ244" s="666"/>
      <c r="AK244" s="666"/>
      <c r="AL244" s="666"/>
      <c r="AM244" s="666"/>
      <c r="AN244" s="666"/>
      <c r="AO244" s="666"/>
      <c r="AP244" s="666"/>
      <c r="AQ244" s="666"/>
      <c r="AR244" s="666"/>
      <c r="AS244" s="666"/>
      <c r="AT244" s="666"/>
      <c r="AU244" s="666"/>
      <c r="AV244" s="666"/>
      <c r="AW244" s="666"/>
      <c r="AX244" s="666"/>
      <c r="AY244" s="666"/>
      <c r="AZ244" s="666"/>
    </row>
    <row r="245" spans="1:52" x14ac:dyDescent="0.2">
      <c r="A245" s="666"/>
      <c r="B245" s="666"/>
      <c r="C245" s="666"/>
      <c r="D245" s="666"/>
      <c r="E245" s="666"/>
      <c r="F245" s="666"/>
      <c r="G245" s="666"/>
      <c r="H245" s="666"/>
      <c r="I245" s="666"/>
      <c r="J245" s="666"/>
      <c r="K245" s="666"/>
      <c r="L245" s="666"/>
      <c r="M245" s="666"/>
      <c r="N245" s="666"/>
      <c r="O245" s="666"/>
      <c r="P245" s="666"/>
      <c r="Q245" s="666"/>
      <c r="R245" s="666"/>
      <c r="S245" s="666"/>
      <c r="T245" s="666"/>
      <c r="U245" s="666"/>
      <c r="V245" s="666"/>
      <c r="W245" s="666"/>
      <c r="X245" s="666"/>
      <c r="Y245" s="666"/>
      <c r="Z245" s="666"/>
      <c r="AA245" s="666"/>
      <c r="AB245" s="666"/>
      <c r="AC245" s="666"/>
      <c r="AD245" s="666"/>
      <c r="AE245" s="666"/>
      <c r="AF245" s="666"/>
      <c r="AG245" s="666"/>
      <c r="AH245" s="666"/>
      <c r="AI245" s="666"/>
      <c r="AJ245" s="666"/>
      <c r="AK245" s="666"/>
      <c r="AL245" s="666"/>
      <c r="AM245" s="666"/>
      <c r="AN245" s="666"/>
      <c r="AO245" s="666"/>
      <c r="AP245" s="666"/>
      <c r="AQ245" s="666"/>
      <c r="AR245" s="666"/>
      <c r="AS245" s="666"/>
      <c r="AT245" s="666"/>
      <c r="AU245" s="666"/>
      <c r="AV245" s="666"/>
      <c r="AW245" s="666"/>
      <c r="AX245" s="666"/>
      <c r="AY245" s="666"/>
      <c r="AZ245" s="666"/>
    </row>
    <row r="246" spans="1:52" x14ac:dyDescent="0.2">
      <c r="A246" s="666"/>
      <c r="B246" s="666"/>
      <c r="C246" s="666"/>
      <c r="D246" s="666"/>
      <c r="E246" s="666"/>
      <c r="F246" s="666"/>
      <c r="G246" s="666"/>
      <c r="H246" s="666"/>
      <c r="I246" s="666"/>
      <c r="J246" s="666"/>
      <c r="K246" s="666"/>
      <c r="L246" s="666"/>
      <c r="M246" s="666"/>
      <c r="N246" s="666"/>
      <c r="O246" s="666"/>
      <c r="P246" s="666"/>
      <c r="Q246" s="666"/>
      <c r="R246" s="666"/>
      <c r="S246" s="666"/>
      <c r="T246" s="666"/>
      <c r="U246" s="666"/>
      <c r="V246" s="666"/>
      <c r="W246" s="666"/>
      <c r="X246" s="666"/>
      <c r="Y246" s="666"/>
      <c r="Z246" s="666"/>
      <c r="AA246" s="666"/>
      <c r="AB246" s="666"/>
      <c r="AC246" s="666"/>
      <c r="AD246" s="666"/>
      <c r="AE246" s="666"/>
      <c r="AF246" s="666"/>
      <c r="AG246" s="666"/>
      <c r="AH246" s="666"/>
      <c r="AI246" s="666"/>
      <c r="AJ246" s="666"/>
      <c r="AK246" s="666"/>
      <c r="AL246" s="666"/>
      <c r="AM246" s="666"/>
      <c r="AN246" s="666"/>
      <c r="AO246" s="666"/>
      <c r="AP246" s="666"/>
      <c r="AQ246" s="666"/>
      <c r="AR246" s="666"/>
      <c r="AS246" s="666"/>
      <c r="AT246" s="666"/>
      <c r="AU246" s="666"/>
      <c r="AV246" s="666"/>
      <c r="AW246" s="666"/>
      <c r="AX246" s="666"/>
      <c r="AY246" s="666"/>
      <c r="AZ246" s="666"/>
    </row>
    <row r="247" spans="1:52" x14ac:dyDescent="0.2">
      <c r="A247" s="666"/>
      <c r="B247" s="666"/>
      <c r="C247" s="666"/>
      <c r="D247" s="666"/>
      <c r="E247" s="666"/>
      <c r="F247" s="666"/>
      <c r="G247" s="666"/>
      <c r="H247" s="666"/>
      <c r="I247" s="666"/>
      <c r="J247" s="666"/>
      <c r="K247" s="666"/>
      <c r="L247" s="666"/>
      <c r="M247" s="666"/>
      <c r="N247" s="666"/>
      <c r="O247" s="666"/>
      <c r="P247" s="666"/>
      <c r="Q247" s="666"/>
      <c r="R247" s="666"/>
      <c r="S247" s="666"/>
      <c r="T247" s="666"/>
      <c r="U247" s="666"/>
      <c r="V247" s="666"/>
      <c r="W247" s="666"/>
      <c r="X247" s="666"/>
      <c r="Y247" s="666"/>
      <c r="Z247" s="666"/>
      <c r="AA247" s="666"/>
      <c r="AB247" s="666"/>
      <c r="AC247" s="666"/>
      <c r="AD247" s="666"/>
      <c r="AE247" s="666"/>
      <c r="AF247" s="666"/>
      <c r="AG247" s="666"/>
      <c r="AH247" s="666"/>
      <c r="AI247" s="666"/>
      <c r="AJ247" s="666"/>
      <c r="AK247" s="666"/>
      <c r="AL247" s="666"/>
      <c r="AM247" s="666"/>
      <c r="AN247" s="666"/>
      <c r="AO247" s="666"/>
      <c r="AP247" s="666"/>
      <c r="AQ247" s="666"/>
      <c r="AR247" s="666"/>
      <c r="AS247" s="666"/>
      <c r="AT247" s="666"/>
      <c r="AU247" s="666"/>
      <c r="AV247" s="666"/>
      <c r="AW247" s="666"/>
      <c r="AX247" s="666"/>
      <c r="AY247" s="666"/>
      <c r="AZ247" s="666"/>
    </row>
    <row r="248" spans="1:52" x14ac:dyDescent="0.2">
      <c r="A248" s="666"/>
      <c r="B248" s="666"/>
      <c r="C248" s="666"/>
      <c r="D248" s="666"/>
      <c r="E248" s="666"/>
      <c r="F248" s="666"/>
      <c r="G248" s="666"/>
      <c r="H248" s="666"/>
      <c r="I248" s="666"/>
      <c r="J248" s="666"/>
      <c r="K248" s="666"/>
      <c r="L248" s="666"/>
      <c r="M248" s="666"/>
      <c r="N248" s="666"/>
      <c r="O248" s="666"/>
      <c r="P248" s="666"/>
      <c r="Q248" s="666"/>
      <c r="R248" s="666"/>
      <c r="S248" s="666"/>
      <c r="T248" s="666"/>
      <c r="U248" s="666"/>
      <c r="V248" s="666"/>
      <c r="W248" s="666"/>
      <c r="X248" s="666"/>
      <c r="Y248" s="666"/>
      <c r="Z248" s="666"/>
      <c r="AA248" s="666"/>
      <c r="AB248" s="666"/>
      <c r="AC248" s="666"/>
      <c r="AD248" s="666"/>
      <c r="AE248" s="666"/>
      <c r="AF248" s="666"/>
      <c r="AG248" s="666"/>
      <c r="AH248" s="666"/>
      <c r="AI248" s="666"/>
      <c r="AJ248" s="666"/>
      <c r="AK248" s="666"/>
      <c r="AL248" s="666"/>
      <c r="AM248" s="666"/>
      <c r="AN248" s="666"/>
      <c r="AO248" s="666"/>
      <c r="AP248" s="666"/>
      <c r="AQ248" s="666"/>
      <c r="AR248" s="666"/>
      <c r="AS248" s="666"/>
      <c r="AT248" s="666"/>
      <c r="AU248" s="666"/>
      <c r="AV248" s="666"/>
      <c r="AW248" s="666"/>
      <c r="AX248" s="666"/>
      <c r="AY248" s="666"/>
      <c r="AZ248" s="666"/>
    </row>
    <row r="249" spans="1:52" x14ac:dyDescent="0.2">
      <c r="A249" s="666"/>
      <c r="B249" s="666"/>
      <c r="C249" s="666"/>
      <c r="D249" s="666"/>
      <c r="E249" s="666"/>
      <c r="F249" s="666"/>
      <c r="G249" s="666"/>
      <c r="H249" s="666"/>
      <c r="I249" s="666"/>
      <c r="J249" s="666"/>
      <c r="K249" s="666"/>
      <c r="L249" s="666"/>
      <c r="M249" s="666"/>
      <c r="N249" s="666"/>
      <c r="O249" s="666"/>
      <c r="P249" s="666"/>
      <c r="Q249" s="666"/>
      <c r="R249" s="666"/>
      <c r="S249" s="666"/>
      <c r="T249" s="666"/>
      <c r="U249" s="666"/>
      <c r="V249" s="666"/>
      <c r="W249" s="666"/>
      <c r="X249" s="666"/>
      <c r="Y249" s="666"/>
      <c r="Z249" s="666"/>
      <c r="AA249" s="666"/>
      <c r="AB249" s="666"/>
      <c r="AC249" s="666"/>
      <c r="AD249" s="666"/>
      <c r="AE249" s="666"/>
      <c r="AF249" s="666"/>
      <c r="AG249" s="666"/>
      <c r="AH249" s="666"/>
      <c r="AI249" s="666"/>
      <c r="AJ249" s="666"/>
      <c r="AK249" s="666"/>
      <c r="AL249" s="666"/>
      <c r="AM249" s="666"/>
      <c r="AN249" s="666"/>
      <c r="AO249" s="666"/>
      <c r="AP249" s="666"/>
      <c r="AQ249" s="666"/>
      <c r="AR249" s="666"/>
      <c r="AS249" s="666"/>
      <c r="AT249" s="666"/>
      <c r="AU249" s="666"/>
      <c r="AV249" s="666"/>
      <c r="AW249" s="666"/>
      <c r="AX249" s="666"/>
      <c r="AY249" s="666"/>
      <c r="AZ249" s="666"/>
    </row>
    <row r="250" spans="1:52" x14ac:dyDescent="0.2">
      <c r="A250" s="666"/>
      <c r="B250" s="666"/>
      <c r="C250" s="666"/>
      <c r="D250" s="666"/>
      <c r="E250" s="666"/>
      <c r="F250" s="666"/>
      <c r="G250" s="666"/>
      <c r="H250" s="666"/>
      <c r="I250" s="666"/>
      <c r="J250" s="666"/>
      <c r="K250" s="666"/>
      <c r="L250" s="666"/>
      <c r="M250" s="666"/>
      <c r="N250" s="666"/>
      <c r="O250" s="666"/>
      <c r="P250" s="666"/>
      <c r="Q250" s="666"/>
      <c r="R250" s="666"/>
      <c r="S250" s="666"/>
      <c r="T250" s="666"/>
      <c r="U250" s="666"/>
      <c r="V250" s="666"/>
      <c r="W250" s="666"/>
      <c r="X250" s="666"/>
      <c r="Y250" s="666"/>
      <c r="Z250" s="666"/>
      <c r="AA250" s="666"/>
      <c r="AB250" s="666"/>
      <c r="AC250" s="666"/>
      <c r="AD250" s="666"/>
      <c r="AE250" s="666"/>
      <c r="AF250" s="666"/>
      <c r="AG250" s="666"/>
      <c r="AH250" s="666"/>
      <c r="AI250" s="666"/>
      <c r="AJ250" s="666"/>
      <c r="AK250" s="666"/>
      <c r="AL250" s="666"/>
      <c r="AM250" s="666"/>
      <c r="AN250" s="666"/>
      <c r="AO250" s="666"/>
      <c r="AP250" s="666"/>
      <c r="AQ250" s="666"/>
      <c r="AR250" s="666"/>
      <c r="AS250" s="666"/>
      <c r="AT250" s="666"/>
      <c r="AU250" s="666"/>
      <c r="AV250" s="666"/>
      <c r="AW250" s="666"/>
      <c r="AX250" s="666"/>
      <c r="AY250" s="666"/>
      <c r="AZ250" s="666"/>
    </row>
  </sheetData>
  <sheetProtection insertRows="0"/>
  <mergeCells count="12">
    <mergeCell ref="C3:G3"/>
    <mergeCell ref="M2:P2"/>
    <mergeCell ref="I2:I4"/>
    <mergeCell ref="J2:J4"/>
    <mergeCell ref="M1:U1"/>
    <mergeCell ref="K2:K4"/>
    <mergeCell ref="L2:L4"/>
    <mergeCell ref="W2:W4"/>
    <mergeCell ref="Q2:Q4"/>
    <mergeCell ref="T2:T4"/>
    <mergeCell ref="U2:U4"/>
    <mergeCell ref="V2:V4"/>
  </mergeCells>
  <phoneticPr fontId="0" type="noConversion"/>
  <dataValidations count="2">
    <dataValidation type="whole" operator="lessThan" allowBlank="1" showInputMessage="1" showErrorMessage="1" sqref="I132:K177 L132:W177" xr:uid="{00000000-0002-0000-0500-000004000000}">
      <formula1>-99999</formula1>
    </dataValidation>
    <dataValidation type="whole" operator="lessThan" allowBlank="1" showInputMessage="1" showErrorMessage="1" sqref="A1:W131" xr:uid="{B94810B1-0CF2-4F8D-97A6-AE34ABF1CDCD}">
      <formula1>-9999</formula1>
    </dataValidation>
  </dataValidations>
  <printOptions horizontalCentered="1"/>
  <pageMargins left="1.1811023622047245" right="0.78740157480314965" top="1.1811023622047245" bottom="0.78740157480314965" header="0.51181102362204722" footer="0.51181102362204722"/>
  <pageSetup paperSize="9" scale="21"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ignoredErrors>
    <ignoredError sqref="X2:X4" unlocked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C27" sqref="C27"/>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631" t="s">
        <v>657</v>
      </c>
      <c r="B1" s="592"/>
      <c r="C1" s="593"/>
      <c r="D1" s="594"/>
      <c r="E1" s="595"/>
      <c r="F1" s="595"/>
      <c r="G1" s="595"/>
      <c r="H1" s="627" t="s">
        <v>786</v>
      </c>
      <c r="I1" s="629">
        <v>3</v>
      </c>
      <c r="J1" s="596"/>
      <c r="K1" s="630" t="s">
        <v>947</v>
      </c>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595"/>
      <c r="AR1" s="595"/>
      <c r="AS1" s="595"/>
      <c r="AT1" s="595"/>
      <c r="AU1" s="595"/>
      <c r="AV1" s="595"/>
      <c r="AW1" s="595"/>
      <c r="AX1" s="595"/>
      <c r="AY1" s="595"/>
      <c r="AZ1" s="595"/>
    </row>
    <row r="2" spans="1:53" s="6" customFormat="1" ht="15" customHeight="1" x14ac:dyDescent="0.2">
      <c r="A2" s="597"/>
      <c r="B2" s="597"/>
      <c r="C2" s="597"/>
      <c r="D2" s="598"/>
      <c r="E2" s="597"/>
      <c r="F2" s="597"/>
      <c r="G2" s="597"/>
      <c r="H2" s="627" t="s">
        <v>785</v>
      </c>
      <c r="I2" s="629">
        <v>3.78</v>
      </c>
      <c r="J2" s="596"/>
      <c r="K2" s="629">
        <f>SVGrund_lfd_mo*I2%</f>
        <v>221.13</v>
      </c>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3"/>
    </row>
    <row r="3" spans="1:53" s="6" customFormat="1" ht="15" customHeight="1" x14ac:dyDescent="0.2">
      <c r="A3" s="599" t="s">
        <v>949</v>
      </c>
      <c r="B3" s="599"/>
      <c r="C3" s="600"/>
      <c r="D3" s="601"/>
      <c r="E3" s="602"/>
      <c r="F3" s="597"/>
      <c r="G3" s="597"/>
      <c r="H3" s="627" t="s">
        <v>784</v>
      </c>
      <c r="I3" s="629">
        <v>1.1000000000000001</v>
      </c>
      <c r="J3" s="596"/>
      <c r="K3" s="629">
        <f>SVGrund_lfd_mo*I3%</f>
        <v>64.350000000000009</v>
      </c>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3"/>
    </row>
    <row r="4" spans="1:53" s="6" customFormat="1" ht="15" customHeight="1" x14ac:dyDescent="0.2">
      <c r="A4" s="599"/>
      <c r="B4" s="599"/>
      <c r="C4" s="603" t="s">
        <v>167</v>
      </c>
      <c r="D4" s="603" t="s">
        <v>163</v>
      </c>
      <c r="E4" s="604" t="s">
        <v>164</v>
      </c>
      <c r="F4" s="597"/>
      <c r="G4" s="597"/>
      <c r="H4" s="627" t="s">
        <v>783</v>
      </c>
      <c r="I4" s="629">
        <v>12.55</v>
      </c>
      <c r="J4" s="596"/>
      <c r="K4" s="629">
        <f>SVGrund_lfd_mo*I4%</f>
        <v>734.17499999999995</v>
      </c>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c r="AT4" s="597"/>
      <c r="AU4" s="597"/>
      <c r="AV4" s="597"/>
      <c r="AW4" s="597"/>
      <c r="AX4" s="597"/>
      <c r="AY4" s="597"/>
      <c r="AZ4" s="597"/>
      <c r="BA4" s="3"/>
    </row>
    <row r="5" spans="1:53" s="6" customFormat="1" ht="15" customHeight="1" x14ac:dyDescent="0.2">
      <c r="A5" s="602" t="s">
        <v>165</v>
      </c>
      <c r="B5" s="602"/>
      <c r="C5" s="601">
        <v>5850</v>
      </c>
      <c r="D5" s="601">
        <f>SVGrund_lfd_mo/30*7</f>
        <v>1365</v>
      </c>
      <c r="E5" s="601">
        <f>SVGrund_lfd_mo/30</f>
        <v>195</v>
      </c>
      <c r="F5" s="597"/>
      <c r="G5" s="597"/>
      <c r="H5" s="627"/>
      <c r="I5" s="629"/>
      <c r="J5" s="596"/>
      <c r="K5" s="605"/>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597"/>
      <c r="AU5" s="597"/>
      <c r="AV5" s="597"/>
      <c r="AW5" s="597"/>
      <c r="AX5" s="597"/>
      <c r="AY5" s="597"/>
      <c r="AZ5" s="597"/>
      <c r="BA5" s="3"/>
    </row>
    <row r="6" spans="1:53" s="6" customFormat="1" ht="15" customHeight="1" x14ac:dyDescent="0.2">
      <c r="A6" s="602" t="s">
        <v>166</v>
      </c>
      <c r="B6" s="602"/>
      <c r="C6" s="601">
        <f>C5*2</f>
        <v>11700</v>
      </c>
      <c r="D6" s="601">
        <f>SVGrund_SZ/30*7</f>
        <v>2730</v>
      </c>
      <c r="E6" s="601">
        <f>SVGrund_SZ/30</f>
        <v>390</v>
      </c>
      <c r="F6" s="597"/>
      <c r="G6" s="597"/>
      <c r="H6" s="627" t="s">
        <v>781</v>
      </c>
      <c r="I6" s="629">
        <v>0.1</v>
      </c>
      <c r="J6" s="596"/>
      <c r="K6" s="605"/>
      <c r="L6" s="606"/>
      <c r="M6" s="597"/>
      <c r="N6" s="597"/>
      <c r="O6" s="597"/>
      <c r="P6" s="597"/>
      <c r="Q6" s="597"/>
      <c r="R6" s="597"/>
      <c r="S6" s="597"/>
      <c r="T6" s="597"/>
      <c r="U6" s="597"/>
      <c r="V6" s="597"/>
      <c r="W6" s="597"/>
      <c r="X6" s="597"/>
      <c r="Y6" s="597"/>
      <c r="Z6" s="597"/>
      <c r="AA6" s="597"/>
      <c r="AB6" s="597"/>
      <c r="AC6" s="597"/>
      <c r="AD6" s="597"/>
      <c r="AE6" s="597"/>
      <c r="AF6" s="597"/>
      <c r="AG6" s="597"/>
      <c r="AH6" s="597"/>
      <c r="AI6" s="597"/>
      <c r="AJ6" s="597"/>
      <c r="AK6" s="597"/>
      <c r="AL6" s="597"/>
      <c r="AM6" s="597"/>
      <c r="AN6" s="597"/>
      <c r="AO6" s="597"/>
      <c r="AP6" s="597"/>
      <c r="AQ6" s="597"/>
      <c r="AR6" s="597"/>
      <c r="AS6" s="597"/>
      <c r="AT6" s="597"/>
      <c r="AU6" s="597"/>
      <c r="AV6" s="597"/>
      <c r="AW6" s="597"/>
      <c r="AX6" s="597"/>
      <c r="AY6" s="597"/>
      <c r="AZ6" s="597"/>
      <c r="BA6" s="3"/>
    </row>
    <row r="7" spans="1:53" s="6" customFormat="1" ht="15" customHeight="1" x14ac:dyDescent="0.2">
      <c r="A7" s="602"/>
      <c r="B7" s="602"/>
      <c r="C7" s="607"/>
      <c r="D7" s="601"/>
      <c r="E7" s="602"/>
      <c r="F7" s="597"/>
      <c r="G7" s="597"/>
      <c r="H7" s="627" t="s">
        <v>782</v>
      </c>
      <c r="I7" s="629">
        <v>0.5</v>
      </c>
      <c r="J7" s="596"/>
      <c r="K7" s="605"/>
      <c r="L7" s="597"/>
      <c r="M7" s="597"/>
      <c r="N7" s="597"/>
      <c r="O7" s="597"/>
      <c r="P7" s="597"/>
      <c r="Q7" s="597"/>
      <c r="R7" s="597"/>
      <c r="S7" s="597"/>
      <c r="T7" s="597"/>
      <c r="U7" s="597"/>
      <c r="V7" s="597"/>
      <c r="W7" s="597"/>
      <c r="X7" s="597"/>
      <c r="Y7" s="597"/>
      <c r="Z7" s="597"/>
      <c r="AA7" s="597"/>
      <c r="AB7" s="597"/>
      <c r="AC7" s="59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3"/>
    </row>
    <row r="8" spans="1:53" s="6" customFormat="1" ht="15" customHeight="1" x14ac:dyDescent="0.2">
      <c r="A8" s="602" t="s">
        <v>156</v>
      </c>
      <c r="B8" s="602"/>
      <c r="C8" s="600">
        <f>I9/100</f>
        <v>0.21030000000000001</v>
      </c>
      <c r="D8" s="601"/>
      <c r="E8" s="602"/>
      <c r="F8" s="597"/>
      <c r="G8" s="597"/>
      <c r="H8" s="627"/>
      <c r="I8" s="609"/>
      <c r="J8" s="610"/>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3"/>
    </row>
    <row r="9" spans="1:53" s="6" customFormat="1" ht="15" customHeight="1" x14ac:dyDescent="0.2">
      <c r="A9" s="602" t="s">
        <v>157</v>
      </c>
      <c r="B9" s="602"/>
      <c r="C9" s="600">
        <f>I11/100</f>
        <v>0.20530000000000001</v>
      </c>
      <c r="D9" s="600"/>
      <c r="E9" s="602"/>
      <c r="F9" s="597"/>
      <c r="G9" s="597"/>
      <c r="H9" s="628" t="s">
        <v>788</v>
      </c>
      <c r="I9" s="611">
        <f>SUM(I1:I8)</f>
        <v>21.03</v>
      </c>
      <c r="J9" s="611"/>
      <c r="K9" s="597"/>
      <c r="L9" s="597"/>
      <c r="M9" s="597"/>
      <c r="N9" s="597"/>
      <c r="O9" s="597"/>
      <c r="P9" s="597"/>
      <c r="Q9" s="597"/>
      <c r="R9" s="597"/>
      <c r="S9" s="597"/>
      <c r="T9" s="597"/>
      <c r="U9" s="597"/>
      <c r="V9" s="597"/>
      <c r="W9" s="597"/>
      <c r="X9" s="597"/>
      <c r="Y9" s="597"/>
      <c r="Z9" s="597"/>
      <c r="AA9" s="597"/>
      <c r="AB9" s="597"/>
      <c r="AC9" s="597"/>
      <c r="AD9" s="597"/>
      <c r="AE9" s="597"/>
      <c r="AF9" s="597"/>
      <c r="AG9" s="597"/>
      <c r="AH9" s="597"/>
      <c r="AI9" s="597"/>
      <c r="AJ9" s="597"/>
      <c r="AK9" s="597"/>
      <c r="AL9" s="597"/>
      <c r="AM9" s="597"/>
      <c r="AN9" s="597"/>
      <c r="AO9" s="597"/>
      <c r="AP9" s="597"/>
      <c r="AQ9" s="597"/>
      <c r="AR9" s="597"/>
      <c r="AS9" s="597"/>
      <c r="AT9" s="597"/>
      <c r="AU9" s="597"/>
      <c r="AV9" s="597"/>
      <c r="AW9" s="597"/>
      <c r="AX9" s="597"/>
      <c r="AY9" s="597"/>
      <c r="AZ9" s="597"/>
      <c r="BA9" s="3"/>
    </row>
    <row r="10" spans="1:53" s="6" customFormat="1" ht="15" customHeight="1" x14ac:dyDescent="0.2">
      <c r="A10" s="602" t="s">
        <v>168</v>
      </c>
      <c r="B10" s="602"/>
      <c r="C10" s="601">
        <f>SVGrund_lfd_mo*SV_lfd</f>
        <v>1230.2550000000001</v>
      </c>
      <c r="D10" s="601">
        <f>SVGrund_lfd_mo*SV_lfd/30*7</f>
        <v>287.05950000000001</v>
      </c>
      <c r="E10" s="601">
        <f>SVGrund_lfd_mo*SV_lfd/30</f>
        <v>41.008500000000005</v>
      </c>
      <c r="F10" s="597"/>
      <c r="G10" s="597"/>
      <c r="H10" s="627" t="s">
        <v>782</v>
      </c>
      <c r="I10" s="629">
        <v>-0.5</v>
      </c>
      <c r="J10" s="609"/>
      <c r="K10" s="597"/>
      <c r="L10" s="597"/>
      <c r="M10" s="597"/>
      <c r="N10" s="597"/>
      <c r="O10" s="597"/>
      <c r="P10" s="597"/>
      <c r="Q10" s="597"/>
      <c r="R10" s="597"/>
      <c r="S10" s="597"/>
      <c r="T10" s="597"/>
      <c r="U10" s="597"/>
      <c r="V10" s="597"/>
      <c r="W10" s="597"/>
      <c r="X10" s="597"/>
      <c r="Y10" s="597"/>
      <c r="Z10" s="597"/>
      <c r="AA10" s="597"/>
      <c r="AB10" s="597"/>
      <c r="AC10" s="597"/>
      <c r="AD10" s="597"/>
      <c r="AE10" s="597"/>
      <c r="AF10" s="597"/>
      <c r="AG10" s="597"/>
      <c r="AH10" s="597"/>
      <c r="AI10" s="597"/>
      <c r="AJ10" s="597"/>
      <c r="AK10" s="597"/>
      <c r="AL10" s="597"/>
      <c r="AM10" s="597"/>
      <c r="AN10" s="597"/>
      <c r="AO10" s="597"/>
      <c r="AP10" s="597"/>
      <c r="AQ10" s="597"/>
      <c r="AR10" s="597"/>
      <c r="AS10" s="597"/>
      <c r="AT10" s="597"/>
      <c r="AU10" s="597"/>
      <c r="AV10" s="597"/>
      <c r="AW10" s="597"/>
      <c r="AX10" s="597"/>
      <c r="AY10" s="597"/>
      <c r="AZ10" s="597"/>
      <c r="BA10" s="3"/>
    </row>
    <row r="11" spans="1:53" s="6" customFormat="1" ht="15" customHeight="1" x14ac:dyDescent="0.2">
      <c r="A11" s="602" t="s">
        <v>169</v>
      </c>
      <c r="B11" s="602"/>
      <c r="C11" s="601">
        <f>SVGrund_SZ*SV_SZ</f>
        <v>2402.0100000000002</v>
      </c>
      <c r="D11" s="601">
        <f>SVGrund_SZ*SV_SZ/30*7</f>
        <v>560.46900000000005</v>
      </c>
      <c r="E11" s="601">
        <f>SVGrund_SZ*SV_SZ/30</f>
        <v>80.067000000000007</v>
      </c>
      <c r="F11" s="597"/>
      <c r="G11" s="597"/>
      <c r="H11" s="628" t="s">
        <v>787</v>
      </c>
      <c r="I11" s="611">
        <f>SUM(I9:I10)</f>
        <v>20.53</v>
      </c>
      <c r="J11" s="609"/>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597"/>
      <c r="AY11" s="597"/>
      <c r="AZ11" s="597"/>
      <c r="BA11" s="3"/>
    </row>
    <row r="12" spans="1:53" s="6" customFormat="1" ht="15" customHeight="1" x14ac:dyDescent="0.2">
      <c r="A12" s="602"/>
      <c r="B12" s="602"/>
      <c r="C12" s="602"/>
      <c r="D12" s="601"/>
      <c r="E12" s="601"/>
      <c r="F12" s="597"/>
      <c r="G12" s="597"/>
      <c r="H12" s="597"/>
      <c r="I12" s="609"/>
      <c r="J12" s="609"/>
      <c r="K12" s="597"/>
      <c r="L12" s="597"/>
      <c r="M12" s="597"/>
      <c r="N12" s="597"/>
      <c r="O12" s="597"/>
      <c r="P12" s="597"/>
      <c r="Q12" s="597"/>
      <c r="R12" s="597"/>
      <c r="S12" s="597"/>
      <c r="T12" s="597"/>
      <c r="U12" s="597"/>
      <c r="V12" s="597"/>
      <c r="W12" s="597"/>
      <c r="X12" s="597"/>
      <c r="Y12" s="597"/>
      <c r="Z12" s="597"/>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3"/>
    </row>
    <row r="13" spans="1:53" s="6" customFormat="1" ht="15" customHeight="1" x14ac:dyDescent="0.2">
      <c r="A13" s="602" t="s">
        <v>658</v>
      </c>
      <c r="B13" s="602"/>
      <c r="C13" s="600">
        <v>3.9E-2</v>
      </c>
      <c r="D13" s="601"/>
      <c r="E13" s="602"/>
      <c r="F13" s="597"/>
      <c r="G13" s="597"/>
      <c r="H13" s="597"/>
      <c r="I13" s="609"/>
      <c r="J13" s="609"/>
      <c r="K13" s="597"/>
      <c r="L13" s="597"/>
      <c r="M13" s="597"/>
      <c r="N13" s="597"/>
      <c r="O13" s="597"/>
      <c r="P13" s="597"/>
      <c r="Q13" s="597"/>
      <c r="R13" s="597"/>
      <c r="S13" s="597"/>
      <c r="T13" s="597"/>
      <c r="U13" s="597"/>
      <c r="V13" s="597"/>
      <c r="W13" s="597"/>
      <c r="X13" s="597"/>
      <c r="Y13" s="597"/>
      <c r="Z13" s="597"/>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3"/>
    </row>
    <row r="14" spans="1:53" s="6" customFormat="1" ht="15" customHeight="1" x14ac:dyDescent="0.2">
      <c r="A14" s="602" t="s">
        <v>250</v>
      </c>
      <c r="B14" s="602"/>
      <c r="C14" s="600">
        <v>3.8E-3</v>
      </c>
      <c r="D14" s="601"/>
      <c r="E14" s="602"/>
      <c r="F14" s="597"/>
      <c r="G14" s="597"/>
      <c r="H14" s="597"/>
      <c r="I14" s="609"/>
      <c r="J14" s="609"/>
      <c r="K14" s="597"/>
      <c r="L14" s="597"/>
      <c r="M14" s="597"/>
      <c r="N14" s="597"/>
      <c r="O14" s="597"/>
      <c r="P14" s="597"/>
      <c r="Q14" s="597"/>
      <c r="R14" s="597"/>
      <c r="S14" s="597"/>
      <c r="T14" s="597"/>
      <c r="U14" s="597"/>
      <c r="V14" s="597"/>
      <c r="W14" s="597"/>
      <c r="X14" s="597"/>
      <c r="Y14" s="597"/>
      <c r="Z14" s="597"/>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3"/>
    </row>
    <row r="15" spans="1:53" s="6" customFormat="1" ht="15" customHeight="1" x14ac:dyDescent="0.2">
      <c r="A15" s="602" t="s">
        <v>47</v>
      </c>
      <c r="B15" s="602"/>
      <c r="C15" s="600">
        <v>0.03</v>
      </c>
      <c r="D15" s="612"/>
      <c r="E15" s="602"/>
      <c r="F15" s="597"/>
      <c r="G15" s="597"/>
      <c r="H15" s="608"/>
      <c r="I15" s="609"/>
      <c r="J15" s="610"/>
      <c r="K15" s="597"/>
      <c r="L15" s="597"/>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3"/>
    </row>
    <row r="16" spans="1:53" s="6" customFormat="1" ht="15" customHeight="1" x14ac:dyDescent="0.2">
      <c r="A16" s="602"/>
      <c r="B16" s="602"/>
      <c r="C16" s="600"/>
      <c r="D16" s="601"/>
      <c r="E16" s="613" t="s">
        <v>196</v>
      </c>
      <c r="F16" s="601">
        <v>0.42</v>
      </c>
      <c r="G16" s="614" t="s">
        <v>274</v>
      </c>
      <c r="H16" s="597"/>
      <c r="I16" s="611"/>
      <c r="J16" s="611"/>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3"/>
    </row>
    <row r="17" spans="1:53" s="6" customFormat="1" ht="15" customHeight="1" x14ac:dyDescent="0.2">
      <c r="A17" s="602" t="s">
        <v>134</v>
      </c>
      <c r="B17" s="602"/>
      <c r="C17" s="600">
        <v>1.5299999999999999E-2</v>
      </c>
      <c r="D17" s="601"/>
      <c r="E17" s="613" t="s">
        <v>197</v>
      </c>
      <c r="F17" s="601">
        <v>15.4</v>
      </c>
      <c r="G17" s="614"/>
      <c r="H17" s="597"/>
      <c r="I17" s="609"/>
      <c r="J17" s="609"/>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3"/>
    </row>
    <row r="18" spans="1:53" s="6" customFormat="1" ht="15" customHeight="1" x14ac:dyDescent="0.2">
      <c r="A18" s="602" t="s">
        <v>135</v>
      </c>
      <c r="B18" s="602"/>
      <c r="C18" s="607">
        <v>2</v>
      </c>
      <c r="D18" s="601"/>
      <c r="E18" s="613" t="s">
        <v>198</v>
      </c>
      <c r="F18" s="601">
        <v>26.4</v>
      </c>
      <c r="G18" s="597"/>
      <c r="H18" s="597"/>
      <c r="I18" s="615"/>
      <c r="J18" s="597"/>
      <c r="K18" s="597"/>
      <c r="L18" s="597"/>
      <c r="M18" s="597"/>
      <c r="N18" s="597"/>
      <c r="O18" s="597"/>
      <c r="P18" s="597"/>
      <c r="Q18" s="597"/>
      <c r="R18" s="597"/>
      <c r="S18" s="597"/>
      <c r="T18" s="597"/>
      <c r="U18" s="597"/>
      <c r="V18" s="597"/>
      <c r="W18" s="597"/>
      <c r="X18" s="597"/>
      <c r="Y18" s="597"/>
      <c r="Z18" s="597"/>
      <c r="AA18" s="597"/>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7"/>
      <c r="AY18" s="597"/>
      <c r="AZ18" s="597"/>
      <c r="BA18" s="3"/>
    </row>
    <row r="19" spans="1:53" s="6" customFormat="1" ht="15" customHeight="1" x14ac:dyDescent="0.2">
      <c r="A19" s="602"/>
      <c r="B19" s="602"/>
      <c r="C19" s="607"/>
      <c r="D19" s="601"/>
      <c r="E19" s="601"/>
      <c r="F19" s="601"/>
      <c r="G19" s="601"/>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3"/>
    </row>
    <row r="20" spans="1:53" s="6" customFormat="1" ht="15" customHeight="1" x14ac:dyDescent="0.2">
      <c r="A20" s="597"/>
      <c r="B20" s="597"/>
      <c r="C20" s="597"/>
      <c r="D20" s="598"/>
      <c r="E20" s="597"/>
      <c r="F20" s="597"/>
      <c r="G20" s="597"/>
      <c r="H20" s="597"/>
      <c r="I20" s="609"/>
      <c r="J20" s="609"/>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3"/>
    </row>
    <row r="21" spans="1:53" ht="18" customHeight="1" x14ac:dyDescent="0.2">
      <c r="A21" s="631" t="s">
        <v>170</v>
      </c>
      <c r="B21" s="592"/>
      <c r="C21" s="616"/>
      <c r="D21" s="594"/>
      <c r="E21" s="617"/>
      <c r="F21" s="604"/>
      <c r="G21" s="617"/>
      <c r="H21" s="597"/>
      <c r="I21" s="609"/>
      <c r="J21" s="609"/>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3"/>
    </row>
    <row r="22" spans="1:53" x14ac:dyDescent="0.2">
      <c r="A22" s="597"/>
      <c r="B22" s="597"/>
      <c r="C22" s="618" t="s">
        <v>571</v>
      </c>
      <c r="D22" s="618" t="s">
        <v>570</v>
      </c>
      <c r="E22" s="619"/>
      <c r="F22" s="604"/>
      <c r="G22" s="597"/>
      <c r="H22" s="597"/>
      <c r="I22" s="609"/>
      <c r="J22" s="609"/>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3"/>
    </row>
    <row r="23" spans="1:53" ht="15" customHeight="1" x14ac:dyDescent="0.2">
      <c r="A23" s="602" t="s">
        <v>35</v>
      </c>
      <c r="B23" s="602"/>
      <c r="C23" s="620"/>
      <c r="D23" s="621">
        <f ca="1">ROUND(IF(NFK_ges&lt;=200000,NFK_ges*12%,IF(NFK_ges&lt;=500000,24000+(NFK_ges-200000)*5%,IF(NFK_ges&lt;=800000,39000+(NFK_ges-500000)*3%,IF(NFK_ges&lt;=2800000,48000+(NFK_ges-800000)*2%,IF(NFK_ges&lt;=6000000,88000+(NFK_ges-2800000)*1%,NFK_ges*2%))))),-1)</f>
        <v>0</v>
      </c>
      <c r="E23" s="601"/>
      <c r="F23" s="601"/>
      <c r="G23" s="622"/>
      <c r="H23" s="597"/>
      <c r="I23" s="609"/>
      <c r="J23" s="609"/>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3"/>
    </row>
    <row r="24" spans="1:53" ht="15" customHeight="1" x14ac:dyDescent="0.2">
      <c r="A24" s="602" t="s">
        <v>143</v>
      </c>
      <c r="B24" s="602"/>
      <c r="C24" s="620"/>
      <c r="D24" s="621">
        <f ca="1">ROUND(IF(NFK_ges&lt;=200000,NFK_ges*18%,IF(NFK_ges&lt;=300000,36000+(NFK_ges-200000)*6%,IF(NFK_ges&lt;=600000,42000+(NFK_ges-300000)*4%,IF(NFK_ges&lt;=2400000,54000+(NFK_ges-600000)*3%,IF(NFK_ges&lt;=3000000,108000+(NFK_ges-2400000)*2%,IF(NFK_ges&lt;=4000000,120000+(NFK_ges-3000000)*1%,NFK_ges*3%)))))),-1)</f>
        <v>0</v>
      </c>
      <c r="E24" s="623"/>
      <c r="F24" s="601"/>
      <c r="G24" s="622"/>
      <c r="H24" s="597"/>
      <c r="I24" s="609"/>
      <c r="J24" s="609"/>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3"/>
    </row>
    <row r="25" spans="1:53" ht="15" customHeight="1" x14ac:dyDescent="0.2">
      <c r="A25" s="602"/>
      <c r="B25" s="602"/>
      <c r="C25" s="620"/>
      <c r="D25" s="621"/>
      <c r="E25" s="623"/>
      <c r="F25" s="601"/>
      <c r="G25" s="622"/>
      <c r="H25" s="597"/>
      <c r="I25" s="609"/>
      <c r="J25" s="609"/>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c r="AS25" s="617"/>
      <c r="AT25" s="617"/>
      <c r="AU25" s="617"/>
      <c r="AV25" s="617"/>
      <c r="AW25" s="617"/>
      <c r="AX25" s="617"/>
      <c r="AY25" s="617"/>
      <c r="AZ25" s="617"/>
      <c r="BA25" s="3"/>
    </row>
    <row r="26" spans="1:53" ht="15" customHeight="1" x14ac:dyDescent="0.2">
      <c r="A26" s="602"/>
      <c r="B26" s="602"/>
      <c r="C26" s="620"/>
      <c r="D26" s="624"/>
      <c r="E26" s="624"/>
      <c r="F26" s="601"/>
      <c r="G26" s="622"/>
      <c r="H26" s="597"/>
      <c r="I26" s="609"/>
      <c r="J26" s="609"/>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c r="BA26" s="3"/>
    </row>
    <row r="27" spans="1:53" ht="15" customHeight="1" x14ac:dyDescent="0.2">
      <c r="A27" s="602" t="s">
        <v>221</v>
      </c>
      <c r="B27" s="602"/>
      <c r="C27" s="621">
        <f ca="1">ROUND(IF(NFK&gt;5000000,250000,IF(NFK&lt;=200000,NFK*10%,IF(NFK&lt;=400000,20000+(NFK-200000)*7%,IF(NFK&lt;=1000000,NFK*7.5%,IF(NFK&lt;=1500000,75000+(NFK-1000000)*5%,IF(NFK&lt;=2500000,100000+(NFK-1500000)*2.5%,NFK*5%)))))),-1)</f>
        <v>0</v>
      </c>
      <c r="D27" s="625"/>
      <c r="E27" s="624"/>
      <c r="F27" s="625"/>
      <c r="G27" s="622"/>
      <c r="H27" s="597"/>
      <c r="I27" s="609"/>
      <c r="J27" s="609"/>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3"/>
    </row>
    <row r="28" spans="1:53" ht="15" customHeight="1" x14ac:dyDescent="0.2">
      <c r="A28" s="602" t="s">
        <v>573</v>
      </c>
      <c r="B28" s="602"/>
      <c r="C28" s="621">
        <f ca="1">ROUND(IF(NFK&lt;=800000,NFK*9%,IF(NFK&lt;=1200000,72000+(NFK-800000)*30000/400000,IF(NFK&lt;=1600000,102000+(NFK-1200000)*26000/400000,IF(NFK&lt;=2500000,128000+(NFK-1600000)*59500/900000,NFK*7.5%)))),-1)</f>
        <v>0</v>
      </c>
      <c r="D28" s="602"/>
      <c r="E28" s="624"/>
      <c r="F28" s="597"/>
      <c r="G28" s="597"/>
      <c r="H28" s="597"/>
      <c r="I28" s="609"/>
      <c r="J28" s="609"/>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3"/>
    </row>
    <row r="29" spans="1:53" s="5" customFormat="1" ht="15" customHeight="1" x14ac:dyDescent="0.2">
      <c r="A29" s="597"/>
      <c r="B29" s="597"/>
      <c r="C29" s="597"/>
      <c r="D29" s="597"/>
      <c r="E29" s="597"/>
      <c r="F29" s="597"/>
      <c r="G29" s="597"/>
      <c r="H29" s="597"/>
      <c r="I29" s="609"/>
      <c r="J29" s="609"/>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3"/>
    </row>
    <row r="30" spans="1:53" ht="15" customHeight="1" x14ac:dyDescent="0.2">
      <c r="A30" s="597"/>
      <c r="B30" s="597"/>
      <c r="C30" s="597"/>
      <c r="D30" s="597"/>
      <c r="E30" s="597"/>
      <c r="F30" s="597"/>
      <c r="G30" s="597"/>
      <c r="H30" s="608"/>
      <c r="I30" s="609"/>
      <c r="J30" s="610"/>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3"/>
    </row>
    <row r="31" spans="1:53" ht="15" hidden="1" customHeight="1" x14ac:dyDescent="0.2">
      <c r="A31" s="597"/>
      <c r="B31" s="597"/>
      <c r="C31" s="597"/>
      <c r="D31" s="597"/>
      <c r="E31" s="597"/>
      <c r="F31" s="597"/>
      <c r="G31" s="597"/>
      <c r="H31" s="608"/>
      <c r="I31" s="609"/>
      <c r="J31" s="610"/>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3"/>
    </row>
    <row r="32" spans="1:53" ht="15" customHeight="1" x14ac:dyDescent="0.2">
      <c r="A32" s="597"/>
      <c r="B32" s="597"/>
      <c r="C32" s="597"/>
      <c r="D32" s="597"/>
      <c r="E32" s="597"/>
      <c r="F32" s="597"/>
      <c r="G32" s="597"/>
      <c r="H32" s="597"/>
      <c r="I32" s="611"/>
      <c r="J32" s="611"/>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3"/>
    </row>
    <row r="33" spans="1:53" ht="15" customHeight="1" x14ac:dyDescent="0.2">
      <c r="A33" s="597"/>
      <c r="B33" s="597"/>
      <c r="C33" s="597"/>
      <c r="D33" s="597"/>
      <c r="E33" s="597"/>
      <c r="F33" s="597"/>
      <c r="G33" s="59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3"/>
    </row>
    <row r="34" spans="1:53" ht="15" customHeight="1" x14ac:dyDescent="0.2">
      <c r="A34" s="597"/>
      <c r="B34" s="597"/>
      <c r="C34" s="597"/>
      <c r="D34" s="597"/>
      <c r="E34" s="597"/>
      <c r="F34" s="597"/>
      <c r="G34" s="59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3"/>
    </row>
    <row r="35" spans="1:53" ht="15" customHeight="1" x14ac:dyDescent="0.2">
      <c r="A35" s="597"/>
      <c r="B35" s="597"/>
      <c r="C35" s="597"/>
      <c r="D35" s="597"/>
      <c r="E35" s="597"/>
      <c r="F35" s="597"/>
      <c r="G35" s="597"/>
      <c r="H35" s="617"/>
      <c r="I35" s="617"/>
      <c r="J35" s="617"/>
      <c r="K35" s="617"/>
      <c r="L35" s="617"/>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617"/>
      <c r="AJ35" s="617"/>
      <c r="AK35" s="617"/>
      <c r="AL35" s="617"/>
      <c r="AM35" s="617"/>
      <c r="AN35" s="617"/>
      <c r="AO35" s="617"/>
      <c r="AP35" s="617"/>
      <c r="AQ35" s="617"/>
      <c r="AR35" s="617"/>
      <c r="AS35" s="617"/>
      <c r="AT35" s="617"/>
      <c r="AU35" s="617"/>
      <c r="AV35" s="617"/>
      <c r="AW35" s="617"/>
      <c r="AX35" s="617"/>
      <c r="AY35" s="617"/>
      <c r="AZ35" s="617"/>
      <c r="BA35" s="3"/>
    </row>
    <row r="36" spans="1:53" ht="15" customHeight="1" x14ac:dyDescent="0.2">
      <c r="A36" s="597"/>
      <c r="B36" s="597"/>
      <c r="C36" s="597"/>
      <c r="D36" s="597"/>
      <c r="E36" s="597"/>
      <c r="F36" s="597"/>
      <c r="G36" s="597"/>
      <c r="H36" s="617"/>
      <c r="I36" s="617"/>
      <c r="J36" s="617"/>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7"/>
      <c r="AP36" s="617"/>
      <c r="AQ36" s="617"/>
      <c r="AR36" s="617"/>
      <c r="AS36" s="617"/>
      <c r="AT36" s="617"/>
      <c r="AU36" s="617"/>
      <c r="AV36" s="617"/>
      <c r="AW36" s="617"/>
      <c r="AX36" s="617"/>
      <c r="AY36" s="617"/>
      <c r="AZ36" s="617"/>
      <c r="BA36" s="3"/>
    </row>
    <row r="37" spans="1:53" ht="15" customHeight="1" x14ac:dyDescent="0.2">
      <c r="A37" s="597"/>
      <c r="B37" s="597"/>
      <c r="C37" s="597"/>
      <c r="D37" s="597"/>
      <c r="E37" s="597"/>
      <c r="F37" s="597"/>
      <c r="G37" s="597"/>
      <c r="H37" s="617"/>
      <c r="I37" s="617"/>
      <c r="J37" s="617"/>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3"/>
    </row>
    <row r="38" spans="1:53" ht="15" customHeight="1" x14ac:dyDescent="0.2">
      <c r="A38" s="597"/>
      <c r="B38" s="597"/>
      <c r="C38" s="597"/>
      <c r="D38" s="597"/>
      <c r="E38" s="597"/>
      <c r="F38" s="597"/>
      <c r="G38" s="59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3"/>
    </row>
    <row r="39" spans="1:53" ht="15" customHeight="1" x14ac:dyDescent="0.2">
      <c r="A39" s="597"/>
      <c r="B39" s="597"/>
      <c r="C39" s="597"/>
      <c r="D39" s="597"/>
      <c r="E39" s="597"/>
      <c r="F39" s="597"/>
      <c r="G39" s="597"/>
      <c r="H39" s="617"/>
      <c r="I39" s="617"/>
      <c r="J39" s="617"/>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17"/>
      <c r="AM39" s="617"/>
      <c r="AN39" s="617"/>
      <c r="AO39" s="617"/>
      <c r="AP39" s="617"/>
      <c r="AQ39" s="617"/>
      <c r="AR39" s="617"/>
      <c r="AS39" s="617"/>
      <c r="AT39" s="617"/>
      <c r="AU39" s="617"/>
      <c r="AV39" s="617"/>
      <c r="AW39" s="617"/>
      <c r="AX39" s="617"/>
      <c r="AY39" s="617"/>
      <c r="AZ39" s="617"/>
      <c r="BA39" s="3"/>
    </row>
    <row r="40" spans="1:53" ht="15" customHeight="1" x14ac:dyDescent="0.2">
      <c r="A40" s="597"/>
      <c r="B40" s="597"/>
      <c r="C40" s="597"/>
      <c r="D40" s="597"/>
      <c r="E40" s="597"/>
      <c r="F40" s="597"/>
      <c r="G40" s="597"/>
      <c r="H40" s="617"/>
      <c r="I40" s="617"/>
      <c r="J40" s="617"/>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17"/>
      <c r="AM40" s="617"/>
      <c r="AN40" s="617"/>
      <c r="AO40" s="617"/>
      <c r="AP40" s="617"/>
      <c r="AQ40" s="617"/>
      <c r="AR40" s="617"/>
      <c r="AS40" s="617"/>
      <c r="AT40" s="617"/>
      <c r="AU40" s="617"/>
      <c r="AV40" s="617"/>
      <c r="AW40" s="617"/>
      <c r="AX40" s="617"/>
      <c r="AY40" s="617"/>
      <c r="AZ40" s="617"/>
      <c r="BA40" s="3"/>
    </row>
    <row r="41" spans="1:53" ht="15" customHeight="1" x14ac:dyDescent="0.2">
      <c r="A41" s="597"/>
      <c r="B41" s="597"/>
      <c r="C41" s="597"/>
      <c r="D41" s="597"/>
      <c r="E41" s="597"/>
      <c r="F41" s="597"/>
      <c r="G41" s="59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3"/>
    </row>
    <row r="42" spans="1:53" ht="15" customHeight="1" x14ac:dyDescent="0.2">
      <c r="A42" s="597"/>
      <c r="B42" s="597"/>
      <c r="C42" s="597"/>
      <c r="D42" s="597"/>
      <c r="E42" s="597"/>
      <c r="F42" s="597"/>
      <c r="G42" s="597"/>
      <c r="H42" s="617"/>
      <c r="I42" s="617"/>
      <c r="J42" s="617"/>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3"/>
    </row>
    <row r="43" spans="1:53" ht="15" customHeight="1" x14ac:dyDescent="0.2">
      <c r="A43" s="597"/>
      <c r="B43" s="597"/>
      <c r="C43" s="597"/>
      <c r="D43" s="597"/>
      <c r="E43" s="597"/>
      <c r="F43" s="597"/>
      <c r="G43" s="59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3"/>
    </row>
    <row r="44" spans="1:53" ht="15" customHeight="1" x14ac:dyDescent="0.2">
      <c r="A44" s="597"/>
      <c r="B44" s="597"/>
      <c r="C44" s="597"/>
      <c r="D44" s="597"/>
      <c r="E44" s="597"/>
      <c r="F44" s="597"/>
      <c r="G44" s="59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3"/>
    </row>
    <row r="45" spans="1:53" ht="15" customHeight="1" x14ac:dyDescent="0.2">
      <c r="A45" s="597"/>
      <c r="B45" s="597"/>
      <c r="C45" s="597"/>
      <c r="D45" s="597"/>
      <c r="E45" s="597"/>
      <c r="F45" s="597"/>
      <c r="G45" s="597"/>
      <c r="H45" s="617"/>
      <c r="I45" s="617"/>
      <c r="J45" s="617"/>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3"/>
    </row>
    <row r="46" spans="1:53" ht="15" customHeight="1" x14ac:dyDescent="0.2">
      <c r="A46" s="597"/>
      <c r="B46" s="597"/>
      <c r="C46" s="597"/>
      <c r="D46" s="597"/>
      <c r="E46" s="597"/>
      <c r="F46" s="597"/>
      <c r="G46" s="59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3"/>
    </row>
    <row r="47" spans="1:53" ht="15" customHeight="1" x14ac:dyDescent="0.2">
      <c r="A47" s="597"/>
      <c r="B47" s="597"/>
      <c r="C47" s="597"/>
      <c r="D47" s="597"/>
      <c r="E47" s="597"/>
      <c r="F47" s="597"/>
      <c r="G47" s="597"/>
      <c r="H47" s="617"/>
      <c r="I47" s="617"/>
      <c r="J47" s="617"/>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3"/>
    </row>
    <row r="48" spans="1:53" ht="15" customHeight="1" x14ac:dyDescent="0.2">
      <c r="A48" s="597"/>
      <c r="B48" s="597"/>
      <c r="C48" s="597"/>
      <c r="D48" s="597"/>
      <c r="E48" s="597"/>
      <c r="F48" s="597"/>
      <c r="G48" s="597"/>
      <c r="H48" s="617"/>
      <c r="I48" s="617"/>
      <c r="J48" s="617"/>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c r="AS48" s="617"/>
      <c r="AT48" s="617"/>
      <c r="AU48" s="617"/>
      <c r="AV48" s="617"/>
      <c r="AW48" s="617"/>
      <c r="AX48" s="617"/>
      <c r="AY48" s="617"/>
      <c r="AZ48" s="617"/>
      <c r="BA48" s="3"/>
    </row>
    <row r="49" spans="1:53" ht="15" customHeight="1" x14ac:dyDescent="0.2">
      <c r="A49" s="597"/>
      <c r="B49" s="597"/>
      <c r="C49" s="597"/>
      <c r="D49" s="597"/>
      <c r="E49" s="597"/>
      <c r="F49" s="597"/>
      <c r="G49" s="597"/>
      <c r="H49" s="617"/>
      <c r="I49" s="617"/>
      <c r="J49" s="617"/>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c r="AO49" s="617"/>
      <c r="AP49" s="617"/>
      <c r="AQ49" s="617"/>
      <c r="AR49" s="617"/>
      <c r="AS49" s="617"/>
      <c r="AT49" s="617"/>
      <c r="AU49" s="617"/>
      <c r="AV49" s="617"/>
      <c r="AW49" s="617"/>
      <c r="AX49" s="617"/>
      <c r="AY49" s="617"/>
      <c r="AZ49" s="617"/>
      <c r="BA49" s="3"/>
    </row>
    <row r="50" spans="1:53" ht="15" customHeight="1" x14ac:dyDescent="0.2">
      <c r="A50" s="597"/>
      <c r="B50" s="597"/>
      <c r="C50" s="597"/>
      <c r="D50" s="597"/>
      <c r="E50" s="597"/>
      <c r="F50" s="597"/>
      <c r="G50" s="59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3"/>
    </row>
    <row r="51" spans="1:53" ht="15" customHeight="1" x14ac:dyDescent="0.2">
      <c r="A51" s="597"/>
      <c r="B51" s="597"/>
      <c r="C51" s="597"/>
      <c r="D51" s="597"/>
      <c r="E51" s="597"/>
      <c r="F51" s="597"/>
      <c r="G51" s="59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3"/>
    </row>
    <row r="52" spans="1:53" ht="15" customHeight="1" x14ac:dyDescent="0.2">
      <c r="A52" s="597"/>
      <c r="B52" s="597"/>
      <c r="C52" s="597"/>
      <c r="D52" s="597"/>
      <c r="E52" s="597"/>
      <c r="F52" s="597"/>
      <c r="G52" s="59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3"/>
    </row>
    <row r="53" spans="1:53" ht="15" customHeight="1" x14ac:dyDescent="0.2">
      <c r="A53" s="597"/>
      <c r="B53" s="597"/>
      <c r="C53" s="597"/>
      <c r="D53" s="597"/>
      <c r="E53" s="597"/>
      <c r="F53" s="597"/>
      <c r="G53" s="59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3"/>
    </row>
    <row r="54" spans="1:53" ht="15" customHeight="1" x14ac:dyDescent="0.2">
      <c r="A54" s="597"/>
      <c r="B54" s="597"/>
      <c r="C54" s="597"/>
      <c r="D54" s="597"/>
      <c r="E54" s="597"/>
      <c r="F54" s="597"/>
      <c r="G54" s="59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3"/>
    </row>
    <row r="55" spans="1:53" ht="15" customHeight="1" x14ac:dyDescent="0.2">
      <c r="A55" s="597"/>
      <c r="B55" s="597"/>
      <c r="C55" s="597"/>
      <c r="D55" s="597"/>
      <c r="E55" s="597"/>
      <c r="F55" s="597"/>
      <c r="G55" s="597"/>
      <c r="H55" s="617"/>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3"/>
    </row>
    <row r="56" spans="1:53" ht="15" customHeight="1" x14ac:dyDescent="0.2">
      <c r="A56" s="597"/>
      <c r="B56" s="597"/>
      <c r="C56" s="597"/>
      <c r="D56" s="597"/>
      <c r="E56" s="597"/>
      <c r="F56" s="597"/>
      <c r="G56" s="597"/>
      <c r="H56" s="617"/>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3"/>
    </row>
    <row r="57" spans="1:53" ht="15" customHeight="1" x14ac:dyDescent="0.2">
      <c r="A57" s="597"/>
      <c r="B57" s="597"/>
      <c r="C57" s="597"/>
      <c r="D57" s="597"/>
      <c r="E57" s="597"/>
      <c r="F57" s="597"/>
      <c r="G57" s="597"/>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c r="AS57" s="617"/>
      <c r="AT57" s="617"/>
      <c r="AU57" s="617"/>
      <c r="AV57" s="617"/>
      <c r="AW57" s="617"/>
      <c r="AX57" s="617"/>
      <c r="AY57" s="617"/>
      <c r="AZ57" s="617"/>
      <c r="BA57" s="3"/>
    </row>
    <row r="58" spans="1:53" ht="15" customHeight="1" x14ac:dyDescent="0.2">
      <c r="A58" s="597"/>
      <c r="B58" s="597"/>
      <c r="C58" s="597"/>
      <c r="D58" s="597"/>
      <c r="E58" s="597"/>
      <c r="F58" s="597"/>
      <c r="G58" s="59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3"/>
    </row>
    <row r="59" spans="1:53" ht="15" customHeight="1" x14ac:dyDescent="0.2">
      <c r="A59" s="597"/>
      <c r="B59" s="597"/>
      <c r="C59" s="597"/>
      <c r="D59" s="597"/>
      <c r="E59" s="597"/>
      <c r="F59" s="597"/>
      <c r="G59" s="59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3"/>
    </row>
    <row r="60" spans="1:53" ht="15" customHeight="1" x14ac:dyDescent="0.2">
      <c r="A60" s="597"/>
      <c r="B60" s="597"/>
      <c r="C60" s="597"/>
      <c r="D60" s="597"/>
      <c r="E60" s="597"/>
      <c r="F60" s="597"/>
      <c r="G60" s="597"/>
      <c r="H60" s="617"/>
      <c r="I60" s="617"/>
      <c r="J60" s="617"/>
      <c r="K60" s="617"/>
      <c r="L60" s="617"/>
      <c r="M60" s="617"/>
      <c r="N60" s="617"/>
      <c r="O60" s="617"/>
      <c r="P60" s="617"/>
      <c r="Q60" s="617"/>
      <c r="R60" s="617"/>
      <c r="S60" s="617"/>
      <c r="T60" s="617"/>
      <c r="U60" s="617"/>
      <c r="V60" s="617"/>
      <c r="W60" s="617"/>
      <c r="X60" s="617"/>
      <c r="Y60" s="617"/>
      <c r="Z60" s="617"/>
      <c r="AA60" s="617"/>
      <c r="AB60" s="617"/>
      <c r="AC60" s="617"/>
      <c r="AD60" s="617"/>
      <c r="AE60" s="617"/>
      <c r="AF60" s="617"/>
      <c r="AG60" s="617"/>
      <c r="AH60" s="617"/>
      <c r="AI60" s="617"/>
      <c r="AJ60" s="617"/>
      <c r="AK60" s="617"/>
      <c r="AL60" s="617"/>
      <c r="AM60" s="617"/>
      <c r="AN60" s="617"/>
      <c r="AO60" s="617"/>
      <c r="AP60" s="617"/>
      <c r="AQ60" s="617"/>
      <c r="AR60" s="617"/>
      <c r="AS60" s="617"/>
      <c r="AT60" s="617"/>
      <c r="AU60" s="617"/>
      <c r="AV60" s="617"/>
      <c r="AW60" s="617"/>
      <c r="AX60" s="617"/>
      <c r="AY60" s="617"/>
      <c r="AZ60" s="617"/>
      <c r="BA60" s="3"/>
    </row>
    <row r="61" spans="1:53" ht="15" customHeight="1" x14ac:dyDescent="0.2">
      <c r="A61" s="597"/>
      <c r="B61" s="597"/>
      <c r="C61" s="597"/>
      <c r="D61" s="597"/>
      <c r="E61" s="597"/>
      <c r="F61" s="597"/>
      <c r="G61" s="59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3"/>
    </row>
    <row r="62" spans="1:53" x14ac:dyDescent="0.2">
      <c r="A62" s="597"/>
      <c r="B62" s="597"/>
      <c r="C62" s="597"/>
      <c r="D62" s="597"/>
      <c r="E62" s="597"/>
      <c r="F62" s="597"/>
      <c r="G62" s="59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3"/>
    </row>
    <row r="63" spans="1:53" x14ac:dyDescent="0.2">
      <c r="A63" s="597"/>
      <c r="B63" s="597"/>
      <c r="C63" s="597"/>
      <c r="D63" s="597"/>
      <c r="E63" s="597"/>
      <c r="F63" s="597"/>
      <c r="G63" s="597"/>
      <c r="H63" s="617"/>
      <c r="I63" s="617"/>
      <c r="J63" s="617"/>
      <c r="K63" s="617"/>
      <c r="L63" s="617"/>
      <c r="M63" s="617"/>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3"/>
    </row>
    <row r="64" spans="1:53" x14ac:dyDescent="0.2">
      <c r="A64" s="597"/>
      <c r="B64" s="597"/>
      <c r="C64" s="597"/>
      <c r="D64" s="597"/>
      <c r="E64" s="597"/>
      <c r="F64" s="597"/>
      <c r="G64" s="597"/>
      <c r="H64" s="617"/>
      <c r="I64" s="617"/>
      <c r="J64" s="617"/>
      <c r="K64" s="617"/>
      <c r="L64" s="617"/>
      <c r="M64" s="617"/>
      <c r="N64" s="617"/>
      <c r="O64" s="617"/>
      <c r="P64" s="617"/>
      <c r="Q64" s="617"/>
      <c r="R64" s="617"/>
      <c r="S64" s="617"/>
      <c r="T64" s="617"/>
      <c r="U64" s="617"/>
      <c r="V64" s="617"/>
      <c r="W64" s="617"/>
      <c r="X64" s="617"/>
      <c r="Y64" s="617"/>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3"/>
    </row>
    <row r="65" spans="1:53" x14ac:dyDescent="0.2">
      <c r="A65" s="597"/>
      <c r="B65" s="597"/>
      <c r="C65" s="597"/>
      <c r="D65" s="597"/>
      <c r="E65" s="597"/>
      <c r="F65" s="597"/>
      <c r="G65" s="597"/>
      <c r="H65" s="617"/>
      <c r="I65" s="617"/>
      <c r="J65" s="617"/>
      <c r="K65" s="617"/>
      <c r="L65" s="617"/>
      <c r="M65" s="617"/>
      <c r="N65" s="617"/>
      <c r="O65" s="617"/>
      <c r="P65" s="617"/>
      <c r="Q65" s="617"/>
      <c r="R65" s="617"/>
      <c r="S65" s="617"/>
      <c r="T65" s="617"/>
      <c r="U65" s="617"/>
      <c r="V65" s="617"/>
      <c r="W65" s="617"/>
      <c r="X65" s="617"/>
      <c r="Y65" s="617"/>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3"/>
    </row>
    <row r="66" spans="1:53" x14ac:dyDescent="0.2">
      <c r="A66" s="597"/>
      <c r="B66" s="597"/>
      <c r="C66" s="597"/>
      <c r="D66" s="597"/>
      <c r="E66" s="597"/>
      <c r="F66" s="597"/>
      <c r="G66" s="597"/>
      <c r="H66" s="617"/>
      <c r="I66" s="617"/>
      <c r="J66" s="617"/>
      <c r="K66" s="617"/>
      <c r="L66" s="617"/>
      <c r="M66" s="617"/>
      <c r="N66" s="617"/>
      <c r="O66" s="617"/>
      <c r="P66" s="617"/>
      <c r="Q66" s="617"/>
      <c r="R66" s="617"/>
      <c r="S66" s="617"/>
      <c r="T66" s="617"/>
      <c r="U66" s="617"/>
      <c r="V66" s="617"/>
      <c r="W66" s="617"/>
      <c r="X66" s="617"/>
      <c r="Y66" s="617"/>
      <c r="Z66" s="617"/>
      <c r="AA66" s="617"/>
      <c r="AB66" s="617"/>
      <c r="AC66" s="617"/>
      <c r="AD66" s="617"/>
      <c r="AE66" s="617"/>
      <c r="AF66" s="617"/>
      <c r="AG66" s="617"/>
      <c r="AH66" s="617"/>
      <c r="AI66" s="617"/>
      <c r="AJ66" s="617"/>
      <c r="AK66" s="617"/>
      <c r="AL66" s="617"/>
      <c r="AM66" s="617"/>
      <c r="AN66" s="617"/>
      <c r="AO66" s="617"/>
      <c r="AP66" s="617"/>
      <c r="AQ66" s="617"/>
      <c r="AR66" s="617"/>
      <c r="AS66" s="617"/>
      <c r="AT66" s="617"/>
      <c r="AU66" s="617"/>
      <c r="AV66" s="617"/>
      <c r="AW66" s="617"/>
      <c r="AX66" s="617"/>
      <c r="AY66" s="617"/>
      <c r="AZ66" s="617"/>
      <c r="BA66" s="3"/>
    </row>
    <row r="67" spans="1:53" x14ac:dyDescent="0.2">
      <c r="A67" s="597"/>
      <c r="B67" s="597"/>
      <c r="C67" s="597"/>
      <c r="D67" s="597"/>
      <c r="E67" s="597"/>
      <c r="F67" s="597"/>
      <c r="G67" s="597"/>
      <c r="H67" s="617"/>
      <c r="I67" s="617"/>
      <c r="J67" s="617"/>
      <c r="K67" s="617"/>
      <c r="L67" s="617"/>
      <c r="M67" s="617"/>
      <c r="N67" s="617"/>
      <c r="O67" s="617"/>
      <c r="P67" s="617"/>
      <c r="Q67" s="617"/>
      <c r="R67" s="617"/>
      <c r="S67" s="617"/>
      <c r="T67" s="617"/>
      <c r="U67" s="617"/>
      <c r="V67" s="617"/>
      <c r="W67" s="617"/>
      <c r="X67" s="617"/>
      <c r="Y67" s="617"/>
      <c r="Z67" s="617"/>
      <c r="AA67" s="617"/>
      <c r="AB67" s="617"/>
      <c r="AC67" s="617"/>
      <c r="AD67" s="617"/>
      <c r="AE67" s="617"/>
      <c r="AF67" s="617"/>
      <c r="AG67" s="617"/>
      <c r="AH67" s="617"/>
      <c r="AI67" s="617"/>
      <c r="AJ67" s="617"/>
      <c r="AK67" s="617"/>
      <c r="AL67" s="617"/>
      <c r="AM67" s="617"/>
      <c r="AN67" s="617"/>
      <c r="AO67" s="617"/>
      <c r="AP67" s="617"/>
      <c r="AQ67" s="617"/>
      <c r="AR67" s="617"/>
      <c r="AS67" s="617"/>
      <c r="AT67" s="617"/>
      <c r="AU67" s="617"/>
      <c r="AV67" s="617"/>
      <c r="AW67" s="617"/>
      <c r="AX67" s="617"/>
      <c r="AY67" s="617"/>
      <c r="AZ67" s="617"/>
      <c r="BA67" s="3"/>
    </row>
    <row r="68" spans="1:53" x14ac:dyDescent="0.2">
      <c r="A68" s="597"/>
      <c r="B68" s="597"/>
      <c r="C68" s="597"/>
      <c r="D68" s="597"/>
      <c r="E68" s="597"/>
      <c r="F68" s="597"/>
      <c r="G68" s="597"/>
      <c r="H68" s="617"/>
      <c r="I68" s="617"/>
      <c r="J68" s="617"/>
      <c r="K68" s="617"/>
      <c r="L68" s="617"/>
      <c r="M68" s="617"/>
      <c r="N68" s="617"/>
      <c r="O68" s="617"/>
      <c r="P68" s="617"/>
      <c r="Q68" s="617"/>
      <c r="R68" s="617"/>
      <c r="S68" s="617"/>
      <c r="T68" s="617"/>
      <c r="U68" s="617"/>
      <c r="V68" s="617"/>
      <c r="W68" s="617"/>
      <c r="X68" s="617"/>
      <c r="Y68" s="617"/>
      <c r="Z68" s="617"/>
      <c r="AA68" s="617"/>
      <c r="AB68" s="617"/>
      <c r="AC68" s="617"/>
      <c r="AD68" s="617"/>
      <c r="AE68" s="617"/>
      <c r="AF68" s="617"/>
      <c r="AG68" s="617"/>
      <c r="AH68" s="617"/>
      <c r="AI68" s="617"/>
      <c r="AJ68" s="617"/>
      <c r="AK68" s="617"/>
      <c r="AL68" s="617"/>
      <c r="AM68" s="617"/>
      <c r="AN68" s="617"/>
      <c r="AO68" s="617"/>
      <c r="AP68" s="617"/>
      <c r="AQ68" s="617"/>
      <c r="AR68" s="617"/>
      <c r="AS68" s="617"/>
      <c r="AT68" s="617"/>
      <c r="AU68" s="617"/>
      <c r="AV68" s="617"/>
      <c r="AW68" s="617"/>
      <c r="AX68" s="617"/>
      <c r="AY68" s="617"/>
      <c r="AZ68" s="617"/>
      <c r="BA68" s="3"/>
    </row>
    <row r="69" spans="1:53" x14ac:dyDescent="0.2">
      <c r="A69" s="597"/>
      <c r="B69" s="597"/>
      <c r="C69" s="597"/>
      <c r="D69" s="597"/>
      <c r="E69" s="597"/>
      <c r="F69" s="597"/>
      <c r="G69" s="597"/>
      <c r="H69" s="617"/>
      <c r="I69" s="617"/>
      <c r="J69" s="617"/>
      <c r="K69" s="617"/>
      <c r="L69" s="617"/>
      <c r="M69" s="617"/>
      <c r="N69" s="617"/>
      <c r="O69" s="617"/>
      <c r="P69" s="617"/>
      <c r="Q69" s="617"/>
      <c r="R69" s="617"/>
      <c r="S69" s="617"/>
      <c r="T69" s="617"/>
      <c r="U69" s="617"/>
      <c r="V69" s="617"/>
      <c r="W69" s="617"/>
      <c r="X69" s="617"/>
      <c r="Y69" s="617"/>
      <c r="Z69" s="617"/>
      <c r="AA69" s="617"/>
      <c r="AB69" s="617"/>
      <c r="AC69" s="617"/>
      <c r="AD69" s="617"/>
      <c r="AE69" s="617"/>
      <c r="AF69" s="617"/>
      <c r="AG69" s="617"/>
      <c r="AH69" s="617"/>
      <c r="AI69" s="617"/>
      <c r="AJ69" s="617"/>
      <c r="AK69" s="617"/>
      <c r="AL69" s="617"/>
      <c r="AM69" s="617"/>
      <c r="AN69" s="617"/>
      <c r="AO69" s="617"/>
      <c r="AP69" s="617"/>
      <c r="AQ69" s="617"/>
      <c r="AR69" s="617"/>
      <c r="AS69" s="617"/>
      <c r="AT69" s="617"/>
      <c r="AU69" s="617"/>
      <c r="AV69" s="617"/>
      <c r="AW69" s="617"/>
      <c r="AX69" s="617"/>
      <c r="AY69" s="617"/>
      <c r="AZ69" s="617"/>
      <c r="BA69" s="3"/>
    </row>
    <row r="70" spans="1:53" x14ac:dyDescent="0.2">
      <c r="A70" s="597"/>
      <c r="B70" s="597"/>
      <c r="C70" s="597"/>
      <c r="D70" s="597"/>
      <c r="E70" s="597"/>
      <c r="F70" s="597"/>
      <c r="G70" s="59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3"/>
    </row>
    <row r="71" spans="1:53" x14ac:dyDescent="0.2">
      <c r="A71" s="597"/>
      <c r="B71" s="597"/>
      <c r="C71" s="597"/>
      <c r="D71" s="597"/>
      <c r="E71" s="597"/>
      <c r="F71" s="597"/>
      <c r="G71" s="597"/>
      <c r="H71" s="617"/>
      <c r="I71" s="617"/>
      <c r="J71" s="617"/>
      <c r="K71" s="617"/>
      <c r="L71" s="617"/>
      <c r="M71" s="617"/>
      <c r="N71" s="617"/>
      <c r="O71" s="617"/>
      <c r="P71" s="617"/>
      <c r="Q71" s="617"/>
      <c r="R71" s="617"/>
      <c r="S71" s="617"/>
      <c r="T71" s="617"/>
      <c r="U71" s="617"/>
      <c r="V71" s="617"/>
      <c r="W71" s="617"/>
      <c r="X71" s="617"/>
      <c r="Y71" s="617"/>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3"/>
    </row>
    <row r="72" spans="1:53" x14ac:dyDescent="0.2">
      <c r="A72" s="597"/>
      <c r="B72" s="597"/>
      <c r="C72" s="597"/>
      <c r="D72" s="597"/>
      <c r="E72" s="597"/>
      <c r="F72" s="597"/>
      <c r="G72" s="597"/>
      <c r="H72" s="617"/>
      <c r="I72" s="617"/>
      <c r="J72" s="617"/>
      <c r="K72" s="617"/>
      <c r="L72" s="617"/>
      <c r="M72" s="617"/>
      <c r="N72" s="617"/>
      <c r="O72" s="617"/>
      <c r="P72" s="617"/>
      <c r="Q72" s="617"/>
      <c r="R72" s="617"/>
      <c r="S72" s="617"/>
      <c r="T72" s="617"/>
      <c r="U72" s="617"/>
      <c r="V72" s="617"/>
      <c r="W72" s="617"/>
      <c r="X72" s="617"/>
      <c r="Y72" s="617"/>
      <c r="Z72" s="617"/>
      <c r="AA72" s="617"/>
      <c r="AB72" s="617"/>
      <c r="AC72" s="617"/>
      <c r="AD72" s="617"/>
      <c r="AE72" s="617"/>
      <c r="AF72" s="617"/>
      <c r="AG72" s="617"/>
      <c r="AH72" s="617"/>
      <c r="AI72" s="617"/>
      <c r="AJ72" s="617"/>
      <c r="AK72" s="617"/>
      <c r="AL72" s="617"/>
      <c r="AM72" s="617"/>
      <c r="AN72" s="617"/>
      <c r="AO72" s="617"/>
      <c r="AP72" s="617"/>
      <c r="AQ72" s="617"/>
      <c r="AR72" s="617"/>
      <c r="AS72" s="617"/>
      <c r="AT72" s="617"/>
      <c r="AU72" s="617"/>
      <c r="AV72" s="617"/>
      <c r="AW72" s="617"/>
      <c r="AX72" s="617"/>
      <c r="AY72" s="617"/>
      <c r="AZ72" s="617"/>
      <c r="BA72" s="3"/>
    </row>
    <row r="73" spans="1:53" x14ac:dyDescent="0.2">
      <c r="A73" s="597"/>
      <c r="B73" s="597"/>
      <c r="C73" s="597"/>
      <c r="D73" s="597"/>
      <c r="E73" s="597"/>
      <c r="F73" s="597"/>
      <c r="G73" s="597"/>
      <c r="H73" s="617"/>
      <c r="I73" s="617"/>
      <c r="J73" s="617"/>
      <c r="K73" s="617"/>
      <c r="L73" s="617"/>
      <c r="M73" s="617"/>
      <c r="N73" s="617"/>
      <c r="O73" s="617"/>
      <c r="P73" s="617"/>
      <c r="Q73" s="617"/>
      <c r="R73" s="617"/>
      <c r="S73" s="617"/>
      <c r="T73" s="617"/>
      <c r="U73" s="617"/>
      <c r="V73" s="617"/>
      <c r="W73" s="617"/>
      <c r="X73" s="617"/>
      <c r="Y73" s="617"/>
      <c r="Z73" s="617"/>
      <c r="AA73" s="617"/>
      <c r="AB73" s="617"/>
      <c r="AC73" s="617"/>
      <c r="AD73" s="617"/>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617"/>
      <c r="BA73" s="3"/>
    </row>
    <row r="74" spans="1:53" x14ac:dyDescent="0.2">
      <c r="A74" s="597"/>
      <c r="B74" s="597"/>
      <c r="C74" s="597"/>
      <c r="D74" s="597"/>
      <c r="E74" s="597"/>
      <c r="F74" s="597"/>
      <c r="G74" s="597"/>
      <c r="H74" s="617"/>
      <c r="I74" s="617"/>
      <c r="J74" s="617"/>
      <c r="K74" s="617"/>
      <c r="L74" s="617"/>
      <c r="M74" s="617"/>
      <c r="N74" s="617"/>
      <c r="O74" s="617"/>
      <c r="P74" s="617"/>
      <c r="Q74" s="617"/>
      <c r="R74" s="617"/>
      <c r="S74" s="617"/>
      <c r="T74" s="617"/>
      <c r="U74" s="617"/>
      <c r="V74" s="617"/>
      <c r="W74" s="617"/>
      <c r="X74" s="617"/>
      <c r="Y74" s="617"/>
      <c r="Z74" s="617"/>
      <c r="AA74" s="617"/>
      <c r="AB74" s="617"/>
      <c r="AC74" s="617"/>
      <c r="AD74" s="617"/>
      <c r="AE74" s="617"/>
      <c r="AF74" s="617"/>
      <c r="AG74" s="617"/>
      <c r="AH74" s="617"/>
      <c r="AI74" s="617"/>
      <c r="AJ74" s="617"/>
      <c r="AK74" s="617"/>
      <c r="AL74" s="617"/>
      <c r="AM74" s="617"/>
      <c r="AN74" s="617"/>
      <c r="AO74" s="617"/>
      <c r="AP74" s="617"/>
      <c r="AQ74" s="617"/>
      <c r="AR74" s="617"/>
      <c r="AS74" s="617"/>
      <c r="AT74" s="617"/>
      <c r="AU74" s="617"/>
      <c r="AV74" s="617"/>
      <c r="AW74" s="617"/>
      <c r="AX74" s="617"/>
      <c r="AY74" s="617"/>
      <c r="AZ74" s="617"/>
      <c r="BA74" s="3"/>
    </row>
    <row r="75" spans="1:53" x14ac:dyDescent="0.2">
      <c r="A75" s="597"/>
      <c r="B75" s="597"/>
      <c r="C75" s="597"/>
      <c r="D75" s="597"/>
      <c r="E75" s="597"/>
      <c r="F75" s="597"/>
      <c r="G75" s="597"/>
      <c r="H75" s="617"/>
      <c r="I75" s="617"/>
      <c r="J75" s="617"/>
      <c r="K75" s="617"/>
      <c r="L75" s="617"/>
      <c r="M75" s="617"/>
      <c r="N75" s="617"/>
      <c r="O75" s="617"/>
      <c r="P75" s="617"/>
      <c r="Q75" s="617"/>
      <c r="R75" s="617"/>
      <c r="S75" s="617"/>
      <c r="T75" s="617"/>
      <c r="U75" s="617"/>
      <c r="V75" s="617"/>
      <c r="W75" s="617"/>
      <c r="X75" s="617"/>
      <c r="Y75" s="617"/>
      <c r="Z75" s="617"/>
      <c r="AA75" s="617"/>
      <c r="AB75" s="617"/>
      <c r="AC75" s="617"/>
      <c r="AD75" s="617"/>
      <c r="AE75" s="617"/>
      <c r="AF75" s="617"/>
      <c r="AG75" s="617"/>
      <c r="AH75" s="617"/>
      <c r="AI75" s="617"/>
      <c r="AJ75" s="617"/>
      <c r="AK75" s="617"/>
      <c r="AL75" s="617"/>
      <c r="AM75" s="617"/>
      <c r="AN75" s="617"/>
      <c r="AO75" s="617"/>
      <c r="AP75" s="617"/>
      <c r="AQ75" s="617"/>
      <c r="AR75" s="617"/>
      <c r="AS75" s="617"/>
      <c r="AT75" s="617"/>
      <c r="AU75" s="617"/>
      <c r="AV75" s="617"/>
      <c r="AW75" s="617"/>
      <c r="AX75" s="617"/>
      <c r="AY75" s="617"/>
      <c r="AZ75" s="617"/>
      <c r="BA75" s="3"/>
    </row>
    <row r="76" spans="1:53" x14ac:dyDescent="0.2">
      <c r="A76" s="597"/>
      <c r="B76" s="597"/>
      <c r="C76" s="597"/>
      <c r="D76" s="597"/>
      <c r="E76" s="597"/>
      <c r="F76" s="597"/>
      <c r="G76" s="597"/>
      <c r="H76" s="617"/>
      <c r="I76" s="617"/>
      <c r="J76" s="617"/>
      <c r="K76" s="617"/>
      <c r="L76" s="617"/>
      <c r="M76" s="617"/>
      <c r="N76" s="617"/>
      <c r="O76" s="617"/>
      <c r="P76" s="617"/>
      <c r="Q76" s="617"/>
      <c r="R76" s="617"/>
      <c r="S76" s="617"/>
      <c r="T76" s="617"/>
      <c r="U76" s="617"/>
      <c r="V76" s="617"/>
      <c r="W76" s="617"/>
      <c r="X76" s="617"/>
      <c r="Y76" s="617"/>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3"/>
    </row>
    <row r="77" spans="1:53" x14ac:dyDescent="0.2">
      <c r="A77" s="597"/>
      <c r="B77" s="597"/>
      <c r="C77" s="597"/>
      <c r="D77" s="597"/>
      <c r="E77" s="597"/>
      <c r="F77" s="597"/>
      <c r="G77" s="597"/>
      <c r="H77" s="617"/>
      <c r="I77" s="617"/>
      <c r="J77" s="617"/>
      <c r="K77" s="617"/>
      <c r="L77" s="617"/>
      <c r="M77" s="617"/>
      <c r="N77" s="617"/>
      <c r="O77" s="617"/>
      <c r="P77" s="617"/>
      <c r="Q77" s="617"/>
      <c r="R77" s="617"/>
      <c r="S77" s="617"/>
      <c r="T77" s="617"/>
      <c r="U77" s="617"/>
      <c r="V77" s="617"/>
      <c r="W77" s="617"/>
      <c r="X77" s="617"/>
      <c r="Y77" s="617"/>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3"/>
    </row>
    <row r="78" spans="1:53" x14ac:dyDescent="0.2">
      <c r="A78" s="597"/>
      <c r="B78" s="597"/>
      <c r="C78" s="597"/>
      <c r="D78" s="597"/>
      <c r="E78" s="597"/>
      <c r="F78" s="597"/>
      <c r="G78" s="597"/>
      <c r="H78" s="617"/>
      <c r="I78" s="617"/>
      <c r="J78" s="617"/>
      <c r="K78" s="617"/>
      <c r="L78" s="617"/>
      <c r="M78" s="617"/>
      <c r="N78" s="617"/>
      <c r="O78" s="617"/>
      <c r="P78" s="617"/>
      <c r="Q78" s="617"/>
      <c r="R78" s="617"/>
      <c r="S78" s="617"/>
      <c r="T78" s="617"/>
      <c r="U78" s="617"/>
      <c r="V78" s="617"/>
      <c r="W78" s="617"/>
      <c r="X78" s="617"/>
      <c r="Y78" s="617"/>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3"/>
    </row>
    <row r="79" spans="1:53" x14ac:dyDescent="0.2">
      <c r="A79" s="597"/>
      <c r="B79" s="597"/>
      <c r="C79" s="597"/>
      <c r="D79" s="597"/>
      <c r="E79" s="597"/>
      <c r="F79" s="597"/>
      <c r="G79" s="597"/>
      <c r="H79" s="617"/>
      <c r="I79" s="617"/>
      <c r="J79" s="617"/>
      <c r="K79" s="617"/>
      <c r="L79" s="617"/>
      <c r="M79" s="617"/>
      <c r="N79" s="617"/>
      <c r="O79" s="617"/>
      <c r="P79" s="617"/>
      <c r="Q79" s="617"/>
      <c r="R79" s="617"/>
      <c r="S79" s="617"/>
      <c r="T79" s="617"/>
      <c r="U79" s="617"/>
      <c r="V79" s="617"/>
      <c r="W79" s="617"/>
      <c r="X79" s="617"/>
      <c r="Y79" s="617"/>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3"/>
    </row>
    <row r="80" spans="1:53" x14ac:dyDescent="0.2">
      <c r="A80" s="597"/>
      <c r="B80" s="597"/>
      <c r="C80" s="597"/>
      <c r="D80" s="597"/>
      <c r="E80" s="597"/>
      <c r="F80" s="597"/>
      <c r="G80" s="597"/>
      <c r="H80" s="617"/>
      <c r="I80" s="617"/>
      <c r="J80" s="617"/>
      <c r="K80" s="617"/>
      <c r="L80" s="617"/>
      <c r="M80" s="617"/>
      <c r="N80" s="617"/>
      <c r="O80" s="617"/>
      <c r="P80" s="617"/>
      <c r="Q80" s="617"/>
      <c r="R80" s="617"/>
      <c r="S80" s="617"/>
      <c r="T80" s="617"/>
      <c r="U80" s="617"/>
      <c r="V80" s="617"/>
      <c r="W80" s="617"/>
      <c r="X80" s="617"/>
      <c r="Y80" s="617"/>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3"/>
    </row>
    <row r="81" spans="1:53" x14ac:dyDescent="0.2">
      <c r="A81" s="597"/>
      <c r="B81" s="597"/>
      <c r="C81" s="597"/>
      <c r="D81" s="597"/>
      <c r="E81" s="597"/>
      <c r="F81" s="597"/>
      <c r="G81" s="597"/>
      <c r="H81" s="617"/>
      <c r="I81" s="617"/>
      <c r="J81" s="617"/>
      <c r="K81" s="617"/>
      <c r="L81" s="617"/>
      <c r="M81" s="617"/>
      <c r="N81" s="617"/>
      <c r="O81" s="617"/>
      <c r="P81" s="617"/>
      <c r="Q81" s="617"/>
      <c r="R81" s="617"/>
      <c r="S81" s="617"/>
      <c r="T81" s="617"/>
      <c r="U81" s="617"/>
      <c r="V81" s="617"/>
      <c r="W81" s="617"/>
      <c r="X81" s="617"/>
      <c r="Y81" s="617"/>
      <c r="Z81" s="617"/>
      <c r="AA81" s="617"/>
      <c r="AB81" s="617"/>
      <c r="AC81" s="617"/>
      <c r="AD81" s="617"/>
      <c r="AE81" s="617"/>
      <c r="AF81" s="617"/>
      <c r="AG81" s="617"/>
      <c r="AH81" s="617"/>
      <c r="AI81" s="617"/>
      <c r="AJ81" s="617"/>
      <c r="AK81" s="617"/>
      <c r="AL81" s="617"/>
      <c r="AM81" s="617"/>
      <c r="AN81" s="617"/>
      <c r="AO81" s="617"/>
      <c r="AP81" s="617"/>
      <c r="AQ81" s="617"/>
      <c r="AR81" s="617"/>
      <c r="AS81" s="617"/>
      <c r="AT81" s="617"/>
      <c r="AU81" s="617"/>
      <c r="AV81" s="617"/>
      <c r="AW81" s="617"/>
      <c r="AX81" s="617"/>
      <c r="AY81" s="617"/>
      <c r="AZ81" s="617"/>
      <c r="BA81" s="3"/>
    </row>
    <row r="82" spans="1:53" x14ac:dyDescent="0.2">
      <c r="A82" s="597"/>
      <c r="B82" s="597"/>
      <c r="C82" s="597"/>
      <c r="D82" s="597"/>
      <c r="E82" s="597"/>
      <c r="F82" s="597"/>
      <c r="G82" s="597"/>
      <c r="H82" s="617"/>
      <c r="I82" s="617"/>
      <c r="J82" s="617"/>
      <c r="K82" s="617"/>
      <c r="L82" s="617"/>
      <c r="M82" s="617"/>
      <c r="N82" s="617"/>
      <c r="O82" s="617"/>
      <c r="P82" s="617"/>
      <c r="Q82" s="617"/>
      <c r="R82" s="617"/>
      <c r="S82" s="617"/>
      <c r="T82" s="617"/>
      <c r="U82" s="617"/>
      <c r="V82" s="617"/>
      <c r="W82" s="617"/>
      <c r="X82" s="617"/>
      <c r="Y82" s="617"/>
      <c r="Z82" s="617"/>
      <c r="AA82" s="617"/>
      <c r="AB82" s="617"/>
      <c r="AC82" s="617"/>
      <c r="AD82" s="617"/>
      <c r="AE82" s="617"/>
      <c r="AF82" s="617"/>
      <c r="AG82" s="617"/>
      <c r="AH82" s="617"/>
      <c r="AI82" s="617"/>
      <c r="AJ82" s="617"/>
      <c r="AK82" s="617"/>
      <c r="AL82" s="617"/>
      <c r="AM82" s="617"/>
      <c r="AN82" s="617"/>
      <c r="AO82" s="617"/>
      <c r="AP82" s="617"/>
      <c r="AQ82" s="617"/>
      <c r="AR82" s="617"/>
      <c r="AS82" s="617"/>
      <c r="AT82" s="617"/>
      <c r="AU82" s="617"/>
      <c r="AV82" s="617"/>
      <c r="AW82" s="617"/>
      <c r="AX82" s="617"/>
      <c r="AY82" s="617"/>
      <c r="AZ82" s="617"/>
      <c r="BA82" s="3"/>
    </row>
    <row r="83" spans="1:53" x14ac:dyDescent="0.2">
      <c r="A83" s="597"/>
      <c r="B83" s="597"/>
      <c r="C83" s="597"/>
      <c r="D83" s="597"/>
      <c r="E83" s="597"/>
      <c r="F83" s="597"/>
      <c r="G83" s="597"/>
      <c r="H83" s="617"/>
      <c r="I83" s="617"/>
      <c r="J83" s="617"/>
      <c r="K83" s="617"/>
      <c r="L83" s="617"/>
      <c r="M83" s="617"/>
      <c r="N83" s="617"/>
      <c r="O83" s="617"/>
      <c r="P83" s="617"/>
      <c r="Q83" s="617"/>
      <c r="R83" s="617"/>
      <c r="S83" s="617"/>
      <c r="T83" s="617"/>
      <c r="U83" s="617"/>
      <c r="V83" s="617"/>
      <c r="W83" s="617"/>
      <c r="X83" s="617"/>
      <c r="Y83" s="617"/>
      <c r="Z83" s="617"/>
      <c r="AA83" s="617"/>
      <c r="AB83" s="617"/>
      <c r="AC83" s="617"/>
      <c r="AD83" s="617"/>
      <c r="AE83" s="617"/>
      <c r="AF83" s="617"/>
      <c r="AG83" s="617"/>
      <c r="AH83" s="617"/>
      <c r="AI83" s="617"/>
      <c r="AJ83" s="617"/>
      <c r="AK83" s="617"/>
      <c r="AL83" s="617"/>
      <c r="AM83" s="617"/>
      <c r="AN83" s="617"/>
      <c r="AO83" s="617"/>
      <c r="AP83" s="617"/>
      <c r="AQ83" s="617"/>
      <c r="AR83" s="617"/>
      <c r="AS83" s="617"/>
      <c r="AT83" s="617"/>
      <c r="AU83" s="617"/>
      <c r="AV83" s="617"/>
      <c r="AW83" s="617"/>
      <c r="AX83" s="617"/>
      <c r="AY83" s="617"/>
      <c r="AZ83" s="617"/>
      <c r="BA83" s="3"/>
    </row>
    <row r="84" spans="1:53" x14ac:dyDescent="0.2">
      <c r="A84" s="597"/>
      <c r="B84" s="597"/>
      <c r="C84" s="597"/>
      <c r="D84" s="597"/>
      <c r="E84" s="597"/>
      <c r="F84" s="597"/>
      <c r="G84" s="597"/>
      <c r="H84" s="617"/>
      <c r="I84" s="617"/>
      <c r="J84" s="617"/>
      <c r="K84" s="617"/>
      <c r="L84" s="617"/>
      <c r="M84" s="617"/>
      <c r="N84" s="617"/>
      <c r="O84" s="617"/>
      <c r="P84" s="617"/>
      <c r="Q84" s="617"/>
      <c r="R84" s="617"/>
      <c r="S84" s="617"/>
      <c r="T84" s="617"/>
      <c r="U84" s="617"/>
      <c r="V84" s="617"/>
      <c r="W84" s="617"/>
      <c r="X84" s="617"/>
      <c r="Y84" s="617"/>
      <c r="Z84" s="617"/>
      <c r="AA84" s="617"/>
      <c r="AB84" s="617"/>
      <c r="AC84" s="617"/>
      <c r="AD84" s="617"/>
      <c r="AE84" s="617"/>
      <c r="AF84" s="617"/>
      <c r="AG84" s="617"/>
      <c r="AH84" s="617"/>
      <c r="AI84" s="617"/>
      <c r="AJ84" s="617"/>
      <c r="AK84" s="617"/>
      <c r="AL84" s="617"/>
      <c r="AM84" s="617"/>
      <c r="AN84" s="617"/>
      <c r="AO84" s="617"/>
      <c r="AP84" s="617"/>
      <c r="AQ84" s="617"/>
      <c r="AR84" s="617"/>
      <c r="AS84" s="617"/>
      <c r="AT84" s="617"/>
      <c r="AU84" s="617"/>
      <c r="AV84" s="617"/>
      <c r="AW84" s="617"/>
      <c r="AX84" s="617"/>
      <c r="AY84" s="617"/>
      <c r="AZ84" s="617"/>
      <c r="BA84" s="3"/>
    </row>
    <row r="85" spans="1:53" x14ac:dyDescent="0.2">
      <c r="A85" s="597"/>
      <c r="B85" s="597"/>
      <c r="C85" s="597"/>
      <c r="D85" s="597"/>
      <c r="E85" s="597"/>
      <c r="F85" s="597"/>
      <c r="G85" s="597"/>
      <c r="H85" s="617"/>
      <c r="I85" s="617"/>
      <c r="J85" s="617"/>
      <c r="K85" s="617"/>
      <c r="L85" s="617"/>
      <c r="M85" s="617"/>
      <c r="N85" s="617"/>
      <c r="O85" s="617"/>
      <c r="P85" s="617"/>
      <c r="Q85" s="617"/>
      <c r="R85" s="617"/>
      <c r="S85" s="617"/>
      <c r="T85" s="617"/>
      <c r="U85" s="617"/>
      <c r="V85" s="617"/>
      <c r="W85" s="617"/>
      <c r="X85" s="617"/>
      <c r="Y85" s="617"/>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3"/>
    </row>
    <row r="86" spans="1:53" x14ac:dyDescent="0.2">
      <c r="A86" s="597"/>
      <c r="B86" s="597"/>
      <c r="C86" s="597"/>
      <c r="D86" s="597"/>
      <c r="E86" s="597"/>
      <c r="F86" s="597"/>
      <c r="G86" s="597"/>
      <c r="H86" s="617"/>
      <c r="I86" s="617"/>
      <c r="J86" s="617"/>
      <c r="K86" s="617"/>
      <c r="L86" s="617"/>
      <c r="M86" s="617"/>
      <c r="N86" s="617"/>
      <c r="O86" s="617"/>
      <c r="P86" s="617"/>
      <c r="Q86" s="617"/>
      <c r="R86" s="617"/>
      <c r="S86" s="617"/>
      <c r="T86" s="617"/>
      <c r="U86" s="617"/>
      <c r="V86" s="617"/>
      <c r="W86" s="617"/>
      <c r="X86" s="617"/>
      <c r="Y86" s="617"/>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3"/>
    </row>
    <row r="87" spans="1:53" x14ac:dyDescent="0.2">
      <c r="A87" s="597"/>
      <c r="B87" s="597"/>
      <c r="C87" s="597"/>
      <c r="D87" s="597"/>
      <c r="E87" s="597"/>
      <c r="F87" s="597"/>
      <c r="G87" s="597"/>
      <c r="H87" s="617"/>
      <c r="I87" s="617"/>
      <c r="J87" s="617"/>
      <c r="K87" s="617"/>
      <c r="L87" s="617"/>
      <c r="M87" s="617"/>
      <c r="N87" s="617"/>
      <c r="O87" s="617"/>
      <c r="P87" s="617"/>
      <c r="Q87" s="617"/>
      <c r="R87" s="617"/>
      <c r="S87" s="617"/>
      <c r="T87" s="617"/>
      <c r="U87" s="617"/>
      <c r="V87" s="617"/>
      <c r="W87" s="617"/>
      <c r="X87" s="617"/>
      <c r="Y87" s="617"/>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3"/>
    </row>
    <row r="88" spans="1:53" x14ac:dyDescent="0.2">
      <c r="A88" s="597"/>
      <c r="B88" s="597"/>
      <c r="C88" s="597"/>
      <c r="D88" s="597"/>
      <c r="E88" s="597"/>
      <c r="F88" s="597"/>
      <c r="G88" s="597"/>
      <c r="H88" s="617"/>
      <c r="I88" s="617"/>
      <c r="J88" s="617"/>
      <c r="K88" s="617"/>
      <c r="L88" s="617"/>
      <c r="M88" s="617"/>
      <c r="N88" s="617"/>
      <c r="O88" s="617"/>
      <c r="P88" s="617"/>
      <c r="Q88" s="617"/>
      <c r="R88" s="617"/>
      <c r="S88" s="617"/>
      <c r="T88" s="617"/>
      <c r="U88" s="617"/>
      <c r="V88" s="617"/>
      <c r="W88" s="617"/>
      <c r="X88" s="617"/>
      <c r="Y88" s="617"/>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3"/>
    </row>
    <row r="89" spans="1:53" x14ac:dyDescent="0.2">
      <c r="A89" s="597"/>
      <c r="B89" s="597"/>
      <c r="C89" s="597"/>
      <c r="D89" s="597"/>
      <c r="E89" s="597"/>
      <c r="F89" s="597"/>
      <c r="G89" s="597"/>
      <c r="H89" s="617"/>
      <c r="I89" s="617"/>
      <c r="J89" s="617"/>
      <c r="K89" s="617"/>
      <c r="L89" s="617"/>
      <c r="M89" s="617"/>
      <c r="N89" s="617"/>
      <c r="O89" s="617"/>
      <c r="P89" s="617"/>
      <c r="Q89" s="617"/>
      <c r="R89" s="617"/>
      <c r="S89" s="617"/>
      <c r="T89" s="617"/>
      <c r="U89" s="617"/>
      <c r="V89" s="617"/>
      <c r="W89" s="617"/>
      <c r="X89" s="617"/>
      <c r="Y89" s="617"/>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3"/>
    </row>
    <row r="90" spans="1:53" x14ac:dyDescent="0.2">
      <c r="A90" s="597"/>
      <c r="B90" s="597"/>
      <c r="C90" s="597"/>
      <c r="D90" s="597"/>
      <c r="E90" s="597"/>
      <c r="F90" s="597"/>
      <c r="G90" s="59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7"/>
      <c r="AF90" s="617"/>
      <c r="AG90" s="617"/>
      <c r="AH90" s="617"/>
      <c r="AI90" s="617"/>
      <c r="AJ90" s="617"/>
      <c r="AK90" s="617"/>
      <c r="AL90" s="617"/>
      <c r="AM90" s="617"/>
      <c r="AN90" s="617"/>
      <c r="AO90" s="617"/>
      <c r="AP90" s="617"/>
      <c r="AQ90" s="617"/>
      <c r="AR90" s="617"/>
      <c r="AS90" s="617"/>
      <c r="AT90" s="617"/>
      <c r="AU90" s="617"/>
      <c r="AV90" s="617"/>
      <c r="AW90" s="617"/>
      <c r="AX90" s="617"/>
      <c r="AY90" s="617"/>
      <c r="AZ90" s="617"/>
      <c r="BA90" s="3"/>
    </row>
    <row r="91" spans="1:53" x14ac:dyDescent="0.2">
      <c r="A91" s="597"/>
      <c r="B91" s="597"/>
      <c r="C91" s="597"/>
      <c r="D91" s="597"/>
      <c r="E91" s="597"/>
      <c r="F91" s="597"/>
      <c r="G91" s="597"/>
      <c r="H91" s="617"/>
      <c r="I91" s="617"/>
      <c r="J91" s="617"/>
      <c r="K91" s="617"/>
      <c r="L91" s="617"/>
      <c r="M91" s="617"/>
      <c r="N91" s="617"/>
      <c r="O91" s="617"/>
      <c r="P91" s="617"/>
      <c r="Q91" s="617"/>
      <c r="R91" s="617"/>
      <c r="S91" s="617"/>
      <c r="T91" s="617"/>
      <c r="U91" s="617"/>
      <c r="V91" s="617"/>
      <c r="W91" s="617"/>
      <c r="X91" s="617"/>
      <c r="Y91" s="617"/>
      <c r="Z91" s="617"/>
      <c r="AA91" s="617"/>
      <c r="AB91" s="617"/>
      <c r="AC91" s="617"/>
      <c r="AD91" s="617"/>
      <c r="AE91" s="617"/>
      <c r="AF91" s="617"/>
      <c r="AG91" s="617"/>
      <c r="AH91" s="617"/>
      <c r="AI91" s="617"/>
      <c r="AJ91" s="617"/>
      <c r="AK91" s="617"/>
      <c r="AL91" s="617"/>
      <c r="AM91" s="617"/>
      <c r="AN91" s="617"/>
      <c r="AO91" s="617"/>
      <c r="AP91" s="617"/>
      <c r="AQ91" s="617"/>
      <c r="AR91" s="617"/>
      <c r="AS91" s="617"/>
      <c r="AT91" s="617"/>
      <c r="AU91" s="617"/>
      <c r="AV91" s="617"/>
      <c r="AW91" s="617"/>
      <c r="AX91" s="617"/>
      <c r="AY91" s="617"/>
      <c r="AZ91" s="617"/>
      <c r="BA91" s="3"/>
    </row>
    <row r="92" spans="1:53" x14ac:dyDescent="0.2">
      <c r="A92" s="597"/>
      <c r="B92" s="597"/>
      <c r="C92" s="597"/>
      <c r="D92" s="597"/>
      <c r="E92" s="597"/>
      <c r="F92" s="597"/>
      <c r="G92" s="597"/>
      <c r="H92" s="617"/>
      <c r="I92" s="617"/>
      <c r="J92" s="617"/>
      <c r="K92" s="617"/>
      <c r="L92" s="617"/>
      <c r="M92" s="617"/>
      <c r="N92" s="617"/>
      <c r="O92" s="617"/>
      <c r="P92" s="617"/>
      <c r="Q92" s="617"/>
      <c r="R92" s="617"/>
      <c r="S92" s="617"/>
      <c r="T92" s="617"/>
      <c r="U92" s="617"/>
      <c r="V92" s="617"/>
      <c r="W92" s="617"/>
      <c r="X92" s="617"/>
      <c r="Y92" s="617"/>
      <c r="Z92" s="617"/>
      <c r="AA92" s="617"/>
      <c r="AB92" s="617"/>
      <c r="AC92" s="617"/>
      <c r="AD92" s="617"/>
      <c r="AE92" s="617"/>
      <c r="AF92" s="617"/>
      <c r="AG92" s="617"/>
      <c r="AH92" s="617"/>
      <c r="AI92" s="617"/>
      <c r="AJ92" s="617"/>
      <c r="AK92" s="617"/>
      <c r="AL92" s="617"/>
      <c r="AM92" s="617"/>
      <c r="AN92" s="617"/>
      <c r="AO92" s="617"/>
      <c r="AP92" s="617"/>
      <c r="AQ92" s="617"/>
      <c r="AR92" s="617"/>
      <c r="AS92" s="617"/>
      <c r="AT92" s="617"/>
      <c r="AU92" s="617"/>
      <c r="AV92" s="617"/>
      <c r="AW92" s="617"/>
      <c r="AX92" s="617"/>
      <c r="AY92" s="617"/>
      <c r="AZ92" s="617"/>
      <c r="BA92" s="3"/>
    </row>
    <row r="93" spans="1:53" x14ac:dyDescent="0.2">
      <c r="A93" s="597"/>
      <c r="B93" s="597"/>
      <c r="C93" s="597"/>
      <c r="D93" s="597"/>
      <c r="E93" s="597"/>
      <c r="F93" s="597"/>
      <c r="G93" s="597"/>
      <c r="H93" s="617"/>
      <c r="I93" s="617"/>
      <c r="J93" s="617"/>
      <c r="K93" s="617"/>
      <c r="L93" s="617"/>
      <c r="M93" s="617"/>
      <c r="N93" s="617"/>
      <c r="O93" s="617"/>
      <c r="P93" s="617"/>
      <c r="Q93" s="617"/>
      <c r="R93" s="617"/>
      <c r="S93" s="617"/>
      <c r="T93" s="617"/>
      <c r="U93" s="617"/>
      <c r="V93" s="617"/>
      <c r="W93" s="617"/>
      <c r="X93" s="617"/>
      <c r="Y93" s="617"/>
      <c r="Z93" s="617"/>
      <c r="AA93" s="617"/>
      <c r="AB93" s="617"/>
      <c r="AC93" s="617"/>
      <c r="AD93" s="617"/>
      <c r="AE93" s="617"/>
      <c r="AF93" s="617"/>
      <c r="AG93" s="617"/>
      <c r="AH93" s="617"/>
      <c r="AI93" s="617"/>
      <c r="AJ93" s="617"/>
      <c r="AK93" s="617"/>
      <c r="AL93" s="617"/>
      <c r="AM93" s="617"/>
      <c r="AN93" s="617"/>
      <c r="AO93" s="617"/>
      <c r="AP93" s="617"/>
      <c r="AQ93" s="617"/>
      <c r="AR93" s="617"/>
      <c r="AS93" s="617"/>
      <c r="AT93" s="617"/>
      <c r="AU93" s="617"/>
      <c r="AV93" s="617"/>
      <c r="AW93" s="617"/>
      <c r="AX93" s="617"/>
      <c r="AY93" s="617"/>
      <c r="AZ93" s="617"/>
      <c r="BA93" s="3"/>
    </row>
    <row r="94" spans="1:53" x14ac:dyDescent="0.2">
      <c r="A94" s="597"/>
      <c r="B94" s="597"/>
      <c r="C94" s="597"/>
      <c r="D94" s="597"/>
      <c r="E94" s="597"/>
      <c r="F94" s="597"/>
      <c r="G94" s="597"/>
      <c r="H94" s="617"/>
      <c r="I94" s="617"/>
      <c r="J94" s="617"/>
      <c r="K94" s="617"/>
      <c r="L94" s="617"/>
      <c r="M94" s="617"/>
      <c r="N94" s="617"/>
      <c r="O94" s="617"/>
      <c r="P94" s="617"/>
      <c r="Q94" s="617"/>
      <c r="R94" s="617"/>
      <c r="S94" s="617"/>
      <c r="T94" s="617"/>
      <c r="U94" s="617"/>
      <c r="V94" s="617"/>
      <c r="W94" s="617"/>
      <c r="X94" s="617"/>
      <c r="Y94" s="617"/>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3"/>
    </row>
    <row r="95" spans="1:53" x14ac:dyDescent="0.2">
      <c r="A95" s="597"/>
      <c r="B95" s="597"/>
      <c r="C95" s="597"/>
      <c r="D95" s="597"/>
      <c r="E95" s="597"/>
      <c r="F95" s="597"/>
      <c r="G95" s="597"/>
      <c r="H95" s="617"/>
      <c r="I95" s="617"/>
      <c r="J95" s="617"/>
      <c r="K95" s="617"/>
      <c r="L95" s="617"/>
      <c r="M95" s="617"/>
      <c r="N95" s="617"/>
      <c r="O95" s="617"/>
      <c r="P95" s="617"/>
      <c r="Q95" s="617"/>
      <c r="R95" s="617"/>
      <c r="S95" s="617"/>
      <c r="T95" s="617"/>
      <c r="U95" s="617"/>
      <c r="V95" s="617"/>
      <c r="W95" s="617"/>
      <c r="X95" s="617"/>
      <c r="Y95" s="617"/>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3"/>
    </row>
    <row r="96" spans="1:53" x14ac:dyDescent="0.2">
      <c r="A96" s="597"/>
      <c r="B96" s="597"/>
      <c r="C96" s="597"/>
      <c r="D96" s="597"/>
      <c r="E96" s="597"/>
      <c r="F96" s="597"/>
      <c r="G96" s="597"/>
      <c r="H96" s="617"/>
      <c r="I96" s="617"/>
      <c r="J96" s="617"/>
      <c r="K96" s="617"/>
      <c r="L96" s="617"/>
      <c r="M96" s="617"/>
      <c r="N96" s="617"/>
      <c r="O96" s="617"/>
      <c r="P96" s="617"/>
      <c r="Q96" s="617"/>
      <c r="R96" s="617"/>
      <c r="S96" s="617"/>
      <c r="T96" s="617"/>
      <c r="U96" s="617"/>
      <c r="V96" s="617"/>
      <c r="W96" s="617"/>
      <c r="X96" s="617"/>
      <c r="Y96" s="617"/>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3"/>
    </row>
    <row r="97" spans="1:53" x14ac:dyDescent="0.2">
      <c r="A97" s="597"/>
      <c r="B97" s="597"/>
      <c r="C97" s="597"/>
      <c r="D97" s="597"/>
      <c r="E97" s="597"/>
      <c r="F97" s="597"/>
      <c r="G97" s="597"/>
      <c r="H97" s="617"/>
      <c r="I97" s="617"/>
      <c r="J97" s="617"/>
      <c r="K97" s="617"/>
      <c r="L97" s="617"/>
      <c r="M97" s="617"/>
      <c r="N97" s="617"/>
      <c r="O97" s="617"/>
      <c r="P97" s="617"/>
      <c r="Q97" s="617"/>
      <c r="R97" s="617"/>
      <c r="S97" s="617"/>
      <c r="T97" s="617"/>
      <c r="U97" s="617"/>
      <c r="V97" s="617"/>
      <c r="W97" s="617"/>
      <c r="X97" s="617"/>
      <c r="Y97" s="617"/>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3"/>
    </row>
    <row r="98" spans="1:53" x14ac:dyDescent="0.2">
      <c r="A98" s="597"/>
      <c r="B98" s="597"/>
      <c r="C98" s="597"/>
      <c r="D98" s="597"/>
      <c r="E98" s="597"/>
      <c r="F98" s="597"/>
      <c r="G98" s="597"/>
      <c r="H98" s="617"/>
      <c r="I98" s="617"/>
      <c r="J98" s="617"/>
      <c r="K98" s="617"/>
      <c r="L98" s="617"/>
      <c r="M98" s="617"/>
      <c r="N98" s="617"/>
      <c r="O98" s="617"/>
      <c r="P98" s="617"/>
      <c r="Q98" s="617"/>
      <c r="R98" s="617"/>
      <c r="S98" s="617"/>
      <c r="T98" s="617"/>
      <c r="U98" s="617"/>
      <c r="V98" s="617"/>
      <c r="W98" s="617"/>
      <c r="X98" s="617"/>
      <c r="Y98" s="617"/>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3"/>
    </row>
    <row r="99" spans="1:53" x14ac:dyDescent="0.2">
      <c r="A99" s="597"/>
      <c r="B99" s="597"/>
      <c r="C99" s="597"/>
      <c r="D99" s="597"/>
      <c r="E99" s="597"/>
      <c r="F99" s="597"/>
      <c r="G99" s="597"/>
      <c r="H99" s="617"/>
      <c r="I99" s="617"/>
      <c r="J99" s="617"/>
      <c r="K99" s="617"/>
      <c r="L99" s="617"/>
      <c r="M99" s="617"/>
      <c r="N99" s="617"/>
      <c r="O99" s="617"/>
      <c r="P99" s="617"/>
      <c r="Q99" s="617"/>
      <c r="R99" s="617"/>
      <c r="S99" s="617"/>
      <c r="T99" s="617"/>
      <c r="U99" s="617"/>
      <c r="V99" s="617"/>
      <c r="W99" s="617"/>
      <c r="X99" s="617"/>
      <c r="Y99" s="617"/>
      <c r="Z99" s="617"/>
      <c r="AA99" s="617"/>
      <c r="AB99" s="617"/>
      <c r="AC99" s="617"/>
      <c r="AD99" s="617"/>
      <c r="AE99" s="617"/>
      <c r="AF99" s="617"/>
      <c r="AG99" s="617"/>
      <c r="AH99" s="617"/>
      <c r="AI99" s="617"/>
      <c r="AJ99" s="617"/>
      <c r="AK99" s="617"/>
      <c r="AL99" s="617"/>
      <c r="AM99" s="617"/>
      <c r="AN99" s="617"/>
      <c r="AO99" s="617"/>
      <c r="AP99" s="617"/>
      <c r="AQ99" s="617"/>
      <c r="AR99" s="617"/>
      <c r="AS99" s="617"/>
      <c r="AT99" s="617"/>
      <c r="AU99" s="617"/>
      <c r="AV99" s="617"/>
      <c r="AW99" s="617"/>
      <c r="AX99" s="617"/>
      <c r="AY99" s="617"/>
      <c r="AZ99" s="617"/>
      <c r="BA99" s="3"/>
    </row>
    <row r="100" spans="1:53" x14ac:dyDescent="0.2">
      <c r="A100" s="597"/>
      <c r="B100" s="597"/>
      <c r="C100" s="597"/>
      <c r="D100" s="597"/>
      <c r="E100" s="597"/>
      <c r="F100" s="597"/>
      <c r="G100" s="597"/>
      <c r="H100" s="617"/>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7"/>
      <c r="AE100" s="617"/>
      <c r="AF100" s="617"/>
      <c r="AG100" s="617"/>
      <c r="AH100" s="617"/>
      <c r="AI100" s="617"/>
      <c r="AJ100" s="617"/>
      <c r="AK100" s="617"/>
      <c r="AL100" s="617"/>
      <c r="AM100" s="617"/>
      <c r="AN100" s="617"/>
      <c r="AO100" s="617"/>
      <c r="AP100" s="617"/>
      <c r="AQ100" s="617"/>
      <c r="AR100" s="617"/>
      <c r="AS100" s="617"/>
      <c r="AT100" s="617"/>
      <c r="AU100" s="617"/>
      <c r="AV100" s="617"/>
      <c r="AW100" s="617"/>
      <c r="AX100" s="617"/>
      <c r="AY100" s="617"/>
      <c r="AZ100" s="617"/>
      <c r="BA100" s="3"/>
    </row>
    <row r="101" spans="1:53" x14ac:dyDescent="0.2">
      <c r="A101" s="597"/>
      <c r="B101" s="597"/>
      <c r="C101" s="597"/>
      <c r="D101" s="597"/>
      <c r="E101" s="597"/>
      <c r="F101" s="597"/>
      <c r="G101" s="59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7"/>
      <c r="AF101" s="617"/>
      <c r="AG101" s="617"/>
      <c r="AH101" s="617"/>
      <c r="AI101" s="617"/>
      <c r="AJ101" s="617"/>
      <c r="AK101" s="617"/>
      <c r="AL101" s="617"/>
      <c r="AM101" s="617"/>
      <c r="AN101" s="617"/>
      <c r="AO101" s="617"/>
      <c r="AP101" s="617"/>
      <c r="AQ101" s="617"/>
      <c r="AR101" s="617"/>
      <c r="AS101" s="617"/>
      <c r="AT101" s="617"/>
      <c r="AU101" s="617"/>
      <c r="AV101" s="617"/>
      <c r="AW101" s="617"/>
      <c r="AX101" s="617"/>
      <c r="AY101" s="617"/>
      <c r="AZ101" s="617"/>
      <c r="BA101" s="3"/>
    </row>
    <row r="102" spans="1:53" x14ac:dyDescent="0.2">
      <c r="A102" s="597"/>
      <c r="B102" s="597"/>
      <c r="C102" s="597"/>
      <c r="D102" s="597"/>
      <c r="E102" s="597"/>
      <c r="F102" s="597"/>
      <c r="G102" s="597"/>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617"/>
      <c r="AK102" s="617"/>
      <c r="AL102" s="617"/>
      <c r="AM102" s="617"/>
      <c r="AN102" s="617"/>
      <c r="AO102" s="617"/>
      <c r="AP102" s="617"/>
      <c r="AQ102" s="617"/>
      <c r="AR102" s="617"/>
      <c r="AS102" s="617"/>
      <c r="AT102" s="617"/>
      <c r="AU102" s="617"/>
      <c r="AV102" s="617"/>
      <c r="AW102" s="617"/>
      <c r="AX102" s="617"/>
      <c r="AY102" s="617"/>
      <c r="AZ102" s="617"/>
      <c r="BA102" s="3"/>
    </row>
    <row r="103" spans="1:53" x14ac:dyDescent="0.2">
      <c r="A103" s="597"/>
      <c r="B103" s="597"/>
      <c r="C103" s="597"/>
      <c r="D103" s="597"/>
      <c r="E103" s="597"/>
      <c r="F103" s="597"/>
      <c r="G103" s="59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3"/>
    </row>
    <row r="104" spans="1:53" x14ac:dyDescent="0.2">
      <c r="A104" s="597"/>
      <c r="B104" s="597"/>
      <c r="C104" s="597"/>
      <c r="D104" s="597"/>
      <c r="E104" s="597"/>
      <c r="F104" s="597"/>
      <c r="G104" s="59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3"/>
    </row>
    <row r="105" spans="1:53" x14ac:dyDescent="0.2">
      <c r="A105" s="597"/>
      <c r="B105" s="597"/>
      <c r="C105" s="597"/>
      <c r="D105" s="597"/>
      <c r="E105" s="597"/>
      <c r="F105" s="597"/>
      <c r="G105" s="59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617"/>
      <c r="AK105" s="617"/>
      <c r="AL105" s="617"/>
      <c r="AM105" s="617"/>
      <c r="AN105" s="617"/>
      <c r="AO105" s="617"/>
      <c r="AP105" s="617"/>
      <c r="AQ105" s="617"/>
      <c r="AR105" s="617"/>
      <c r="AS105" s="617"/>
      <c r="AT105" s="617"/>
      <c r="AU105" s="617"/>
      <c r="AV105" s="617"/>
      <c r="AW105" s="617"/>
      <c r="AX105" s="617"/>
      <c r="AY105" s="617"/>
      <c r="AZ105" s="617"/>
      <c r="BA105" s="3"/>
    </row>
    <row r="106" spans="1:53" x14ac:dyDescent="0.2">
      <c r="A106" s="597"/>
      <c r="B106" s="597"/>
      <c r="C106" s="597"/>
      <c r="D106" s="597"/>
      <c r="E106" s="597"/>
      <c r="F106" s="597"/>
      <c r="G106" s="597"/>
      <c r="H106" s="617"/>
      <c r="I106" s="617"/>
      <c r="J106" s="617"/>
      <c r="K106" s="617"/>
      <c r="L106" s="617"/>
      <c r="M106" s="617"/>
      <c r="N106" s="617"/>
      <c r="O106" s="617"/>
      <c r="P106" s="617"/>
      <c r="Q106" s="617"/>
      <c r="R106" s="617"/>
      <c r="S106" s="617"/>
      <c r="T106" s="617"/>
      <c r="U106" s="617"/>
      <c r="V106" s="617"/>
      <c r="W106" s="617"/>
      <c r="X106" s="617"/>
      <c r="Y106" s="617"/>
      <c r="Z106" s="617"/>
      <c r="AA106" s="617"/>
      <c r="AB106" s="617"/>
      <c r="AC106" s="617"/>
      <c r="AD106" s="617"/>
      <c r="AE106" s="617"/>
      <c r="AF106" s="617"/>
      <c r="AG106" s="617"/>
      <c r="AH106" s="617"/>
      <c r="AI106" s="617"/>
      <c r="AJ106" s="617"/>
      <c r="AK106" s="617"/>
      <c r="AL106" s="617"/>
      <c r="AM106" s="617"/>
      <c r="AN106" s="617"/>
      <c r="AO106" s="617"/>
      <c r="AP106" s="617"/>
      <c r="AQ106" s="617"/>
      <c r="AR106" s="617"/>
      <c r="AS106" s="617"/>
      <c r="AT106" s="617"/>
      <c r="AU106" s="617"/>
      <c r="AV106" s="617"/>
      <c r="AW106" s="617"/>
      <c r="AX106" s="617"/>
      <c r="AY106" s="617"/>
      <c r="AZ106" s="617"/>
      <c r="BA106" s="3"/>
    </row>
    <row r="107" spans="1:53" x14ac:dyDescent="0.2">
      <c r="A107" s="597"/>
      <c r="B107" s="597"/>
      <c r="C107" s="597"/>
      <c r="D107" s="597"/>
      <c r="E107" s="597"/>
      <c r="F107" s="597"/>
      <c r="G107" s="597"/>
      <c r="H107" s="617"/>
      <c r="I107" s="617"/>
      <c r="J107" s="617"/>
      <c r="K107" s="617"/>
      <c r="L107" s="617"/>
      <c r="M107" s="617"/>
      <c r="N107" s="617"/>
      <c r="O107" s="617"/>
      <c r="P107" s="617"/>
      <c r="Q107" s="617"/>
      <c r="R107" s="617"/>
      <c r="S107" s="617"/>
      <c r="T107" s="617"/>
      <c r="U107" s="617"/>
      <c r="V107" s="617"/>
      <c r="W107" s="617"/>
      <c r="X107" s="617"/>
      <c r="Y107" s="617"/>
      <c r="Z107" s="617"/>
      <c r="AA107" s="617"/>
      <c r="AB107" s="617"/>
      <c r="AC107" s="617"/>
      <c r="AD107" s="617"/>
      <c r="AE107" s="617"/>
      <c r="AF107" s="617"/>
      <c r="AG107" s="617"/>
      <c r="AH107" s="617"/>
      <c r="AI107" s="617"/>
      <c r="AJ107" s="617"/>
      <c r="AK107" s="617"/>
      <c r="AL107" s="617"/>
      <c r="AM107" s="617"/>
      <c r="AN107" s="617"/>
      <c r="AO107" s="617"/>
      <c r="AP107" s="617"/>
      <c r="AQ107" s="617"/>
      <c r="AR107" s="617"/>
      <c r="AS107" s="617"/>
      <c r="AT107" s="617"/>
      <c r="AU107" s="617"/>
      <c r="AV107" s="617"/>
      <c r="AW107" s="617"/>
      <c r="AX107" s="617"/>
      <c r="AY107" s="617"/>
      <c r="AZ107" s="617"/>
      <c r="BA107" s="3"/>
    </row>
    <row r="108" spans="1:53" x14ac:dyDescent="0.2">
      <c r="A108" s="597"/>
      <c r="B108" s="597"/>
      <c r="C108" s="597"/>
      <c r="D108" s="597"/>
      <c r="E108" s="597"/>
      <c r="F108" s="597"/>
      <c r="G108" s="597"/>
      <c r="H108" s="617"/>
      <c r="I108" s="617"/>
      <c r="J108" s="617"/>
      <c r="K108" s="617"/>
      <c r="L108" s="617"/>
      <c r="M108" s="617"/>
      <c r="N108" s="617"/>
      <c r="O108" s="617"/>
      <c r="P108" s="617"/>
      <c r="Q108" s="617"/>
      <c r="R108" s="617"/>
      <c r="S108" s="617"/>
      <c r="T108" s="617"/>
      <c r="U108" s="617"/>
      <c r="V108" s="617"/>
      <c r="W108" s="617"/>
      <c r="X108" s="617"/>
      <c r="Y108" s="617"/>
      <c r="Z108" s="617"/>
      <c r="AA108" s="617"/>
      <c r="AB108" s="617"/>
      <c r="AC108" s="617"/>
      <c r="AD108" s="617"/>
      <c r="AE108" s="617"/>
      <c r="AF108" s="617"/>
      <c r="AG108" s="617"/>
      <c r="AH108" s="617"/>
      <c r="AI108" s="617"/>
      <c r="AJ108" s="617"/>
      <c r="AK108" s="617"/>
      <c r="AL108" s="617"/>
      <c r="AM108" s="617"/>
      <c r="AN108" s="617"/>
      <c r="AO108" s="617"/>
      <c r="AP108" s="617"/>
      <c r="AQ108" s="617"/>
      <c r="AR108" s="617"/>
      <c r="AS108" s="617"/>
      <c r="AT108" s="617"/>
      <c r="AU108" s="617"/>
      <c r="AV108" s="617"/>
      <c r="AW108" s="617"/>
      <c r="AX108" s="617"/>
      <c r="AY108" s="617"/>
      <c r="AZ108" s="617"/>
      <c r="BA108" s="3"/>
    </row>
    <row r="109" spans="1:53" x14ac:dyDescent="0.2">
      <c r="A109" s="597"/>
      <c r="B109" s="597"/>
      <c r="C109" s="597"/>
      <c r="D109" s="597"/>
      <c r="E109" s="597"/>
      <c r="F109" s="597"/>
      <c r="G109" s="597"/>
      <c r="H109" s="617"/>
      <c r="I109" s="617"/>
      <c r="J109" s="617"/>
      <c r="K109" s="617"/>
      <c r="L109" s="617"/>
      <c r="M109" s="617"/>
      <c r="N109" s="617"/>
      <c r="O109" s="617"/>
      <c r="P109" s="617"/>
      <c r="Q109" s="617"/>
      <c r="R109" s="617"/>
      <c r="S109" s="617"/>
      <c r="T109" s="617"/>
      <c r="U109" s="617"/>
      <c r="V109" s="617"/>
      <c r="W109" s="617"/>
      <c r="X109" s="617"/>
      <c r="Y109" s="617"/>
      <c r="Z109" s="617"/>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3"/>
    </row>
    <row r="110" spans="1:53" x14ac:dyDescent="0.2">
      <c r="A110" s="597"/>
      <c r="B110" s="597"/>
      <c r="C110" s="597"/>
      <c r="D110" s="597"/>
      <c r="E110" s="597"/>
      <c r="F110" s="597"/>
      <c r="G110" s="597"/>
      <c r="H110" s="617"/>
      <c r="I110" s="617"/>
      <c r="J110" s="617"/>
      <c r="K110" s="617"/>
      <c r="L110" s="617"/>
      <c r="M110" s="617"/>
      <c r="N110" s="617"/>
      <c r="O110" s="617"/>
      <c r="P110" s="617"/>
      <c r="Q110" s="617"/>
      <c r="R110" s="617"/>
      <c r="S110" s="617"/>
      <c r="T110" s="617"/>
      <c r="U110" s="617"/>
      <c r="V110" s="617"/>
      <c r="W110" s="617"/>
      <c r="X110" s="617"/>
      <c r="Y110" s="617"/>
      <c r="Z110" s="617"/>
      <c r="AA110" s="617"/>
      <c r="AB110" s="617"/>
      <c r="AC110" s="617"/>
      <c r="AD110" s="617"/>
      <c r="AE110" s="617"/>
      <c r="AF110" s="617"/>
      <c r="AG110" s="617"/>
      <c r="AH110" s="617"/>
      <c r="AI110" s="617"/>
      <c r="AJ110" s="617"/>
      <c r="AK110" s="617"/>
      <c r="AL110" s="617"/>
      <c r="AM110" s="617"/>
      <c r="AN110" s="617"/>
      <c r="AO110" s="617"/>
      <c r="AP110" s="617"/>
      <c r="AQ110" s="617"/>
      <c r="AR110" s="617"/>
      <c r="AS110" s="617"/>
      <c r="AT110" s="617"/>
      <c r="AU110" s="617"/>
      <c r="AV110" s="617"/>
      <c r="AW110" s="617"/>
      <c r="AX110" s="617"/>
      <c r="AY110" s="617"/>
      <c r="AZ110" s="617"/>
      <c r="BA110" s="3"/>
    </row>
    <row r="111" spans="1:53" x14ac:dyDescent="0.2">
      <c r="A111" s="597"/>
      <c r="B111" s="597"/>
      <c r="C111" s="597"/>
      <c r="D111" s="597"/>
      <c r="E111" s="597"/>
      <c r="F111" s="597"/>
      <c r="G111" s="597"/>
      <c r="H111" s="617"/>
      <c r="I111" s="617"/>
      <c r="J111" s="617"/>
      <c r="K111" s="617"/>
      <c r="L111" s="617"/>
      <c r="M111" s="617"/>
      <c r="N111" s="617"/>
      <c r="O111" s="617"/>
      <c r="P111" s="617"/>
      <c r="Q111" s="617"/>
      <c r="R111" s="617"/>
      <c r="S111" s="617"/>
      <c r="T111" s="617"/>
      <c r="U111" s="617"/>
      <c r="V111" s="617"/>
      <c r="W111" s="617"/>
      <c r="X111" s="617"/>
      <c r="Y111" s="617"/>
      <c r="Z111" s="617"/>
      <c r="AA111" s="617"/>
      <c r="AB111" s="617"/>
      <c r="AC111" s="617"/>
      <c r="AD111" s="617"/>
      <c r="AE111" s="617"/>
      <c r="AF111" s="617"/>
      <c r="AG111" s="617"/>
      <c r="AH111" s="617"/>
      <c r="AI111" s="617"/>
      <c r="AJ111" s="617"/>
      <c r="AK111" s="617"/>
      <c r="AL111" s="617"/>
      <c r="AM111" s="617"/>
      <c r="AN111" s="617"/>
      <c r="AO111" s="617"/>
      <c r="AP111" s="617"/>
      <c r="AQ111" s="617"/>
      <c r="AR111" s="617"/>
      <c r="AS111" s="617"/>
      <c r="AT111" s="617"/>
      <c r="AU111" s="617"/>
      <c r="AV111" s="617"/>
      <c r="AW111" s="617"/>
      <c r="AX111" s="617"/>
      <c r="AY111" s="617"/>
      <c r="AZ111" s="617"/>
      <c r="BA111" s="3"/>
    </row>
    <row r="112" spans="1:53" x14ac:dyDescent="0.2">
      <c r="A112" s="597"/>
      <c r="B112" s="597"/>
      <c r="C112" s="597"/>
      <c r="D112" s="597"/>
      <c r="E112" s="597"/>
      <c r="F112" s="597"/>
      <c r="G112" s="597"/>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7"/>
      <c r="AI112" s="617"/>
      <c r="AJ112" s="617"/>
      <c r="AK112" s="617"/>
      <c r="AL112" s="617"/>
      <c r="AM112" s="617"/>
      <c r="AN112" s="617"/>
      <c r="AO112" s="617"/>
      <c r="AP112" s="617"/>
      <c r="AQ112" s="617"/>
      <c r="AR112" s="617"/>
      <c r="AS112" s="617"/>
      <c r="AT112" s="617"/>
      <c r="AU112" s="617"/>
      <c r="AV112" s="617"/>
      <c r="AW112" s="617"/>
      <c r="AX112" s="617"/>
      <c r="AY112" s="617"/>
      <c r="AZ112" s="617"/>
      <c r="BA112" s="3"/>
    </row>
    <row r="113" spans="1:53" x14ac:dyDescent="0.2">
      <c r="A113" s="597"/>
      <c r="B113" s="597"/>
      <c r="C113" s="597"/>
      <c r="D113" s="597"/>
      <c r="E113" s="597"/>
      <c r="F113" s="597"/>
      <c r="G113" s="597"/>
      <c r="H113" s="617"/>
      <c r="I113" s="617"/>
      <c r="J113" s="617"/>
      <c r="K113" s="617"/>
      <c r="L113" s="617"/>
      <c r="M113" s="617"/>
      <c r="N113" s="617"/>
      <c r="O113" s="617"/>
      <c r="P113" s="617"/>
      <c r="Q113" s="617"/>
      <c r="R113" s="617"/>
      <c r="S113" s="617"/>
      <c r="T113" s="617"/>
      <c r="U113" s="617"/>
      <c r="V113" s="617"/>
      <c r="W113" s="617"/>
      <c r="X113" s="617"/>
      <c r="Y113" s="617"/>
      <c r="Z113" s="617"/>
      <c r="AA113" s="617"/>
      <c r="AB113" s="617"/>
      <c r="AC113" s="617"/>
      <c r="AD113" s="617"/>
      <c r="AE113" s="617"/>
      <c r="AF113" s="617"/>
      <c r="AG113" s="617"/>
      <c r="AH113" s="617"/>
      <c r="AI113" s="617"/>
      <c r="AJ113" s="617"/>
      <c r="AK113" s="617"/>
      <c r="AL113" s="617"/>
      <c r="AM113" s="617"/>
      <c r="AN113" s="617"/>
      <c r="AO113" s="617"/>
      <c r="AP113" s="617"/>
      <c r="AQ113" s="617"/>
      <c r="AR113" s="617"/>
      <c r="AS113" s="617"/>
      <c r="AT113" s="617"/>
      <c r="AU113" s="617"/>
      <c r="AV113" s="617"/>
      <c r="AW113" s="617"/>
      <c r="AX113" s="617"/>
      <c r="AY113" s="617"/>
      <c r="AZ113" s="617"/>
      <c r="BA113" s="3"/>
    </row>
    <row r="114" spans="1:53" x14ac:dyDescent="0.2">
      <c r="A114" s="597"/>
      <c r="B114" s="597"/>
      <c r="C114" s="597"/>
      <c r="D114" s="597"/>
      <c r="E114" s="597"/>
      <c r="F114" s="597"/>
      <c r="G114" s="597"/>
      <c r="H114" s="617"/>
      <c r="I114" s="617"/>
      <c r="J114" s="617"/>
      <c r="K114" s="617"/>
      <c r="L114" s="617"/>
      <c r="M114" s="617"/>
      <c r="N114" s="617"/>
      <c r="O114" s="617"/>
      <c r="P114" s="617"/>
      <c r="Q114" s="617"/>
      <c r="R114" s="617"/>
      <c r="S114" s="617"/>
      <c r="T114" s="617"/>
      <c r="U114" s="617"/>
      <c r="V114" s="617"/>
      <c r="W114" s="617"/>
      <c r="X114" s="617"/>
      <c r="Y114" s="617"/>
      <c r="Z114" s="617"/>
      <c r="AA114" s="617"/>
      <c r="AB114" s="617"/>
      <c r="AC114" s="617"/>
      <c r="AD114" s="617"/>
      <c r="AE114" s="617"/>
      <c r="AF114" s="617"/>
      <c r="AG114" s="617"/>
      <c r="AH114" s="617"/>
      <c r="AI114" s="617"/>
      <c r="AJ114" s="617"/>
      <c r="AK114" s="617"/>
      <c r="AL114" s="617"/>
      <c r="AM114" s="617"/>
      <c r="AN114" s="617"/>
      <c r="AO114" s="617"/>
      <c r="AP114" s="617"/>
      <c r="AQ114" s="617"/>
      <c r="AR114" s="617"/>
      <c r="AS114" s="617"/>
      <c r="AT114" s="617"/>
      <c r="AU114" s="617"/>
      <c r="AV114" s="617"/>
      <c r="AW114" s="617"/>
      <c r="AX114" s="617"/>
      <c r="AY114" s="617"/>
      <c r="AZ114" s="617"/>
      <c r="BA114" s="3"/>
    </row>
    <row r="115" spans="1:53" x14ac:dyDescent="0.2">
      <c r="A115" s="597"/>
      <c r="B115" s="597"/>
      <c r="C115" s="597"/>
      <c r="D115" s="597"/>
      <c r="E115" s="597"/>
      <c r="F115" s="597"/>
      <c r="G115" s="597"/>
      <c r="H115" s="617"/>
      <c r="I115" s="617"/>
      <c r="J115" s="617"/>
      <c r="K115" s="617"/>
      <c r="L115" s="617"/>
      <c r="M115" s="617"/>
      <c r="N115" s="617"/>
      <c r="O115" s="617"/>
      <c r="P115" s="617"/>
      <c r="Q115" s="617"/>
      <c r="R115" s="617"/>
      <c r="S115" s="617"/>
      <c r="T115" s="617"/>
      <c r="U115" s="617"/>
      <c r="V115" s="617"/>
      <c r="W115" s="617"/>
      <c r="X115" s="617"/>
      <c r="Y115" s="617"/>
      <c r="Z115" s="617"/>
      <c r="AA115" s="617"/>
      <c r="AB115" s="617"/>
      <c r="AC115" s="617"/>
      <c r="AD115" s="617"/>
      <c r="AE115" s="617"/>
      <c r="AF115" s="617"/>
      <c r="AG115" s="617"/>
      <c r="AH115" s="617"/>
      <c r="AI115" s="617"/>
      <c r="AJ115" s="617"/>
      <c r="AK115" s="617"/>
      <c r="AL115" s="617"/>
      <c r="AM115" s="617"/>
      <c r="AN115" s="617"/>
      <c r="AO115" s="617"/>
      <c r="AP115" s="617"/>
      <c r="AQ115" s="617"/>
      <c r="AR115" s="617"/>
      <c r="AS115" s="617"/>
      <c r="AT115" s="617"/>
      <c r="AU115" s="617"/>
      <c r="AV115" s="617"/>
      <c r="AW115" s="617"/>
      <c r="AX115" s="617"/>
      <c r="AY115" s="617"/>
      <c r="AZ115" s="617"/>
      <c r="BA115" s="3"/>
    </row>
    <row r="116" spans="1:53" x14ac:dyDescent="0.2">
      <c r="A116" s="597"/>
      <c r="B116" s="597"/>
      <c r="C116" s="597"/>
      <c r="D116" s="597"/>
      <c r="E116" s="597"/>
      <c r="F116" s="597"/>
      <c r="G116" s="597"/>
      <c r="H116" s="617"/>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7"/>
      <c r="AE116" s="617"/>
      <c r="AF116" s="617"/>
      <c r="AG116" s="617"/>
      <c r="AH116" s="617"/>
      <c r="AI116" s="617"/>
      <c r="AJ116" s="617"/>
      <c r="AK116" s="617"/>
      <c r="AL116" s="617"/>
      <c r="AM116" s="617"/>
      <c r="AN116" s="617"/>
      <c r="AO116" s="617"/>
      <c r="AP116" s="617"/>
      <c r="AQ116" s="617"/>
      <c r="AR116" s="617"/>
      <c r="AS116" s="617"/>
      <c r="AT116" s="617"/>
      <c r="AU116" s="617"/>
      <c r="AV116" s="617"/>
      <c r="AW116" s="617"/>
      <c r="AX116" s="617"/>
      <c r="AY116" s="617"/>
      <c r="AZ116" s="617"/>
      <c r="BA116" s="3"/>
    </row>
    <row r="117" spans="1:53" x14ac:dyDescent="0.2">
      <c r="A117" s="597"/>
      <c r="B117" s="597"/>
      <c r="C117" s="597"/>
      <c r="D117" s="597"/>
      <c r="E117" s="597"/>
      <c r="F117" s="597"/>
      <c r="G117" s="597"/>
      <c r="H117" s="617"/>
      <c r="I117" s="617"/>
      <c r="J117" s="617"/>
      <c r="K117" s="617"/>
      <c r="L117" s="617"/>
      <c r="M117" s="617"/>
      <c r="N117" s="617"/>
      <c r="O117" s="617"/>
      <c r="P117" s="617"/>
      <c r="Q117" s="617"/>
      <c r="R117" s="617"/>
      <c r="S117" s="617"/>
      <c r="T117" s="617"/>
      <c r="U117" s="617"/>
      <c r="V117" s="617"/>
      <c r="W117" s="617"/>
      <c r="X117" s="617"/>
      <c r="Y117" s="617"/>
      <c r="Z117" s="617"/>
      <c r="AA117" s="617"/>
      <c r="AB117" s="617"/>
      <c r="AC117" s="617"/>
      <c r="AD117" s="617"/>
      <c r="AE117" s="617"/>
      <c r="AF117" s="617"/>
      <c r="AG117" s="617"/>
      <c r="AH117" s="617"/>
      <c r="AI117" s="617"/>
      <c r="AJ117" s="617"/>
      <c r="AK117" s="617"/>
      <c r="AL117" s="617"/>
      <c r="AM117" s="617"/>
      <c r="AN117" s="617"/>
      <c r="AO117" s="617"/>
      <c r="AP117" s="617"/>
      <c r="AQ117" s="617"/>
      <c r="AR117" s="617"/>
      <c r="AS117" s="617"/>
      <c r="AT117" s="617"/>
      <c r="AU117" s="617"/>
      <c r="AV117" s="617"/>
      <c r="AW117" s="617"/>
      <c r="AX117" s="617"/>
      <c r="AY117" s="617"/>
      <c r="AZ117" s="617"/>
      <c r="BA117" s="3"/>
    </row>
    <row r="118" spans="1:53" x14ac:dyDescent="0.2">
      <c r="A118" s="597"/>
      <c r="B118" s="597"/>
      <c r="C118" s="597"/>
      <c r="D118" s="597"/>
      <c r="E118" s="597"/>
      <c r="F118" s="597"/>
      <c r="G118" s="597"/>
      <c r="H118" s="617"/>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7"/>
      <c r="AE118" s="617"/>
      <c r="AF118" s="617"/>
      <c r="AG118" s="617"/>
      <c r="AH118" s="617"/>
      <c r="AI118" s="617"/>
      <c r="AJ118" s="617"/>
      <c r="AK118" s="617"/>
      <c r="AL118" s="617"/>
      <c r="AM118" s="617"/>
      <c r="AN118" s="617"/>
      <c r="AO118" s="617"/>
      <c r="AP118" s="617"/>
      <c r="AQ118" s="617"/>
      <c r="AR118" s="617"/>
      <c r="AS118" s="617"/>
      <c r="AT118" s="617"/>
      <c r="AU118" s="617"/>
      <c r="AV118" s="617"/>
      <c r="AW118" s="617"/>
      <c r="AX118" s="617"/>
      <c r="AY118" s="617"/>
      <c r="AZ118" s="617"/>
      <c r="BA118" s="3"/>
    </row>
    <row r="119" spans="1:53" x14ac:dyDescent="0.2">
      <c r="A119" s="597"/>
      <c r="B119" s="597"/>
      <c r="C119" s="597"/>
      <c r="D119" s="597"/>
      <c r="E119" s="597"/>
      <c r="F119" s="597"/>
      <c r="G119" s="597"/>
      <c r="H119" s="617"/>
      <c r="I119" s="617"/>
      <c r="J119" s="617"/>
      <c r="K119" s="617"/>
      <c r="L119" s="617"/>
      <c r="M119" s="617"/>
      <c r="N119" s="617"/>
      <c r="O119" s="617"/>
      <c r="P119" s="617"/>
      <c r="Q119" s="617"/>
      <c r="R119" s="617"/>
      <c r="S119" s="617"/>
      <c r="T119" s="617"/>
      <c r="U119" s="617"/>
      <c r="V119" s="617"/>
      <c r="W119" s="617"/>
      <c r="X119" s="617"/>
      <c r="Y119" s="617"/>
      <c r="Z119" s="617"/>
      <c r="AA119" s="617"/>
      <c r="AB119" s="617"/>
      <c r="AC119" s="617"/>
      <c r="AD119" s="617"/>
      <c r="AE119" s="617"/>
      <c r="AF119" s="617"/>
      <c r="AG119" s="617"/>
      <c r="AH119" s="617"/>
      <c r="AI119" s="617"/>
      <c r="AJ119" s="617"/>
      <c r="AK119" s="617"/>
      <c r="AL119" s="617"/>
      <c r="AM119" s="617"/>
      <c r="AN119" s="617"/>
      <c r="AO119" s="617"/>
      <c r="AP119" s="617"/>
      <c r="AQ119" s="617"/>
      <c r="AR119" s="617"/>
      <c r="AS119" s="617"/>
      <c r="AT119" s="617"/>
      <c r="AU119" s="617"/>
      <c r="AV119" s="617"/>
      <c r="AW119" s="617"/>
      <c r="AX119" s="617"/>
      <c r="AY119" s="617"/>
      <c r="AZ119" s="617"/>
      <c r="BA119" s="3"/>
    </row>
    <row r="120" spans="1:53" x14ac:dyDescent="0.2">
      <c r="A120" s="597"/>
      <c r="B120" s="597"/>
      <c r="C120" s="597"/>
      <c r="D120" s="597"/>
      <c r="E120" s="597"/>
      <c r="F120" s="597"/>
      <c r="G120" s="597"/>
      <c r="H120" s="617"/>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3"/>
    </row>
    <row r="121" spans="1:53" x14ac:dyDescent="0.2">
      <c r="A121" s="597"/>
      <c r="B121" s="597"/>
      <c r="C121" s="597"/>
      <c r="D121" s="597"/>
      <c r="E121" s="597"/>
      <c r="F121" s="597"/>
      <c r="G121" s="597"/>
      <c r="H121" s="617"/>
      <c r="I121" s="617"/>
      <c r="J121" s="617"/>
      <c r="K121" s="617"/>
      <c r="L121" s="617"/>
      <c r="M121" s="617"/>
      <c r="N121" s="617"/>
      <c r="O121" s="617"/>
      <c r="P121" s="617"/>
      <c r="Q121" s="617"/>
      <c r="R121" s="617"/>
      <c r="S121" s="617"/>
      <c r="T121" s="617"/>
      <c r="U121" s="617"/>
      <c r="V121" s="617"/>
      <c r="W121" s="617"/>
      <c r="X121" s="617"/>
      <c r="Y121" s="617"/>
      <c r="Z121" s="617"/>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3"/>
    </row>
    <row r="122" spans="1:53" x14ac:dyDescent="0.2">
      <c r="A122" s="597"/>
      <c r="B122" s="597"/>
      <c r="C122" s="597"/>
      <c r="D122" s="597"/>
      <c r="E122" s="597"/>
      <c r="F122" s="597"/>
      <c r="G122" s="597"/>
      <c r="H122" s="617"/>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3"/>
    </row>
    <row r="123" spans="1:53" x14ac:dyDescent="0.2">
      <c r="A123" s="597"/>
      <c r="B123" s="597"/>
      <c r="C123" s="597"/>
      <c r="D123" s="597"/>
      <c r="E123" s="597"/>
      <c r="F123" s="597"/>
      <c r="G123" s="597"/>
      <c r="H123" s="617"/>
      <c r="I123" s="617"/>
      <c r="J123" s="617"/>
      <c r="K123" s="617"/>
      <c r="L123" s="617"/>
      <c r="M123" s="617"/>
      <c r="N123" s="617"/>
      <c r="O123" s="617"/>
      <c r="P123" s="617"/>
      <c r="Q123" s="617"/>
      <c r="R123" s="617"/>
      <c r="S123" s="617"/>
      <c r="T123" s="617"/>
      <c r="U123" s="617"/>
      <c r="V123" s="617"/>
      <c r="W123" s="617"/>
      <c r="X123" s="617"/>
      <c r="Y123" s="617"/>
      <c r="Z123" s="617"/>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3"/>
    </row>
    <row r="124" spans="1:53" x14ac:dyDescent="0.2">
      <c r="A124" s="597"/>
      <c r="B124" s="597"/>
      <c r="C124" s="597"/>
      <c r="D124" s="597"/>
      <c r="E124" s="597"/>
      <c r="F124" s="597"/>
      <c r="G124" s="597"/>
      <c r="H124" s="617"/>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3"/>
    </row>
    <row r="125" spans="1:53" x14ac:dyDescent="0.2">
      <c r="A125" s="597"/>
      <c r="B125" s="597"/>
      <c r="C125" s="597"/>
      <c r="D125" s="597"/>
      <c r="E125" s="597"/>
      <c r="F125" s="597"/>
      <c r="G125" s="597"/>
      <c r="H125" s="617"/>
      <c r="I125" s="617"/>
      <c r="J125" s="617"/>
      <c r="K125" s="617"/>
      <c r="L125" s="617"/>
      <c r="M125" s="617"/>
      <c r="N125" s="617"/>
      <c r="O125" s="617"/>
      <c r="P125" s="617"/>
      <c r="Q125" s="617"/>
      <c r="R125" s="617"/>
      <c r="S125" s="617"/>
      <c r="T125" s="617"/>
      <c r="U125" s="617"/>
      <c r="V125" s="617"/>
      <c r="W125" s="617"/>
      <c r="X125" s="617"/>
      <c r="Y125" s="617"/>
      <c r="Z125" s="617"/>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3"/>
    </row>
    <row r="126" spans="1:53" x14ac:dyDescent="0.2">
      <c r="A126" s="597"/>
      <c r="B126" s="597"/>
      <c r="C126" s="597"/>
      <c r="D126" s="597"/>
      <c r="E126" s="597"/>
      <c r="F126" s="597"/>
      <c r="G126" s="597"/>
      <c r="H126" s="617"/>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3"/>
    </row>
    <row r="127" spans="1:53" x14ac:dyDescent="0.2">
      <c r="A127" s="597"/>
      <c r="B127" s="597"/>
      <c r="C127" s="597"/>
      <c r="D127" s="597"/>
      <c r="E127" s="597"/>
      <c r="F127" s="597"/>
      <c r="G127" s="597"/>
      <c r="H127" s="617"/>
      <c r="I127" s="617"/>
      <c r="J127" s="617"/>
      <c r="K127" s="617"/>
      <c r="L127" s="617"/>
      <c r="M127" s="617"/>
      <c r="N127" s="617"/>
      <c r="O127" s="617"/>
      <c r="P127" s="617"/>
      <c r="Q127" s="617"/>
      <c r="R127" s="617"/>
      <c r="S127" s="617"/>
      <c r="T127" s="617"/>
      <c r="U127" s="617"/>
      <c r="V127" s="617"/>
      <c r="W127" s="617"/>
      <c r="X127" s="617"/>
      <c r="Y127" s="617"/>
      <c r="Z127" s="617"/>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3"/>
    </row>
    <row r="128" spans="1:53" x14ac:dyDescent="0.2">
      <c r="A128" s="597"/>
      <c r="B128" s="597"/>
      <c r="C128" s="597"/>
      <c r="D128" s="597"/>
      <c r="E128" s="597"/>
      <c r="F128" s="597"/>
      <c r="G128" s="597"/>
      <c r="H128" s="617"/>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3"/>
    </row>
    <row r="129" spans="1:53" x14ac:dyDescent="0.2">
      <c r="A129" s="597"/>
      <c r="B129" s="597"/>
      <c r="C129" s="597"/>
      <c r="D129" s="597"/>
      <c r="E129" s="597"/>
      <c r="F129" s="597"/>
      <c r="G129" s="597"/>
      <c r="H129" s="617"/>
      <c r="I129" s="617"/>
      <c r="J129" s="617"/>
      <c r="K129" s="617"/>
      <c r="L129" s="617"/>
      <c r="M129" s="617"/>
      <c r="N129" s="617"/>
      <c r="O129" s="617"/>
      <c r="P129" s="617"/>
      <c r="Q129" s="617"/>
      <c r="R129" s="617"/>
      <c r="S129" s="617"/>
      <c r="T129" s="617"/>
      <c r="U129" s="617"/>
      <c r="V129" s="617"/>
      <c r="W129" s="617"/>
      <c r="X129" s="617"/>
      <c r="Y129" s="617"/>
      <c r="Z129" s="617"/>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3"/>
    </row>
    <row r="130" spans="1:53" x14ac:dyDescent="0.2">
      <c r="A130" s="597"/>
      <c r="B130" s="597"/>
      <c r="C130" s="597"/>
      <c r="D130" s="597"/>
      <c r="E130" s="597"/>
      <c r="F130" s="597"/>
      <c r="G130" s="597"/>
      <c r="H130" s="617"/>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3"/>
    </row>
    <row r="131" spans="1:53" x14ac:dyDescent="0.2">
      <c r="A131" s="597"/>
      <c r="B131" s="597"/>
      <c r="C131" s="597"/>
      <c r="D131" s="597"/>
      <c r="E131" s="597"/>
      <c r="F131" s="597"/>
      <c r="G131" s="597"/>
      <c r="H131" s="617"/>
      <c r="I131" s="617"/>
      <c r="J131" s="617"/>
      <c r="K131" s="617"/>
      <c r="L131" s="617"/>
      <c r="M131" s="617"/>
      <c r="N131" s="617"/>
      <c r="O131" s="617"/>
      <c r="P131" s="617"/>
      <c r="Q131" s="617"/>
      <c r="R131" s="617"/>
      <c r="S131" s="617"/>
      <c r="T131" s="617"/>
      <c r="U131" s="617"/>
      <c r="V131" s="617"/>
      <c r="W131" s="617"/>
      <c r="X131" s="617"/>
      <c r="Y131" s="617"/>
      <c r="Z131" s="617"/>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3"/>
    </row>
    <row r="132" spans="1:53" x14ac:dyDescent="0.2">
      <c r="A132" s="597"/>
      <c r="B132" s="597"/>
      <c r="C132" s="597"/>
      <c r="D132" s="597"/>
      <c r="E132" s="597"/>
      <c r="F132" s="597"/>
      <c r="G132" s="597"/>
      <c r="H132" s="617"/>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7"/>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3"/>
    </row>
    <row r="133" spans="1:53" x14ac:dyDescent="0.2">
      <c r="A133" s="597"/>
      <c r="B133" s="597"/>
      <c r="C133" s="597"/>
      <c r="D133" s="597"/>
      <c r="E133" s="597"/>
      <c r="F133" s="597"/>
      <c r="G133" s="597"/>
      <c r="H133" s="617"/>
      <c r="I133" s="617"/>
      <c r="J133" s="617"/>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7"/>
      <c r="AP133" s="617"/>
      <c r="AQ133" s="617"/>
      <c r="AR133" s="617"/>
      <c r="AS133" s="617"/>
      <c r="AT133" s="617"/>
      <c r="AU133" s="617"/>
      <c r="AV133" s="617"/>
      <c r="AW133" s="617"/>
      <c r="AX133" s="617"/>
      <c r="AY133" s="617"/>
      <c r="AZ133" s="617"/>
      <c r="BA133" s="3"/>
    </row>
    <row r="134" spans="1:53" x14ac:dyDescent="0.2">
      <c r="A134" s="597"/>
      <c r="B134" s="597"/>
      <c r="C134" s="597"/>
      <c r="D134" s="597"/>
      <c r="E134" s="597"/>
      <c r="F134" s="597"/>
      <c r="G134" s="597"/>
      <c r="H134" s="617"/>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7"/>
      <c r="AE134" s="617"/>
      <c r="AF134" s="617"/>
      <c r="AG134" s="617"/>
      <c r="AH134" s="617"/>
      <c r="AI134" s="617"/>
      <c r="AJ134" s="617"/>
      <c r="AK134" s="617"/>
      <c r="AL134" s="617"/>
      <c r="AM134" s="617"/>
      <c r="AN134" s="617"/>
      <c r="AO134" s="617"/>
      <c r="AP134" s="617"/>
      <c r="AQ134" s="617"/>
      <c r="AR134" s="617"/>
      <c r="AS134" s="617"/>
      <c r="AT134" s="617"/>
      <c r="AU134" s="617"/>
      <c r="AV134" s="617"/>
      <c r="AW134" s="617"/>
      <c r="AX134" s="617"/>
      <c r="AY134" s="617"/>
      <c r="AZ134" s="617"/>
      <c r="BA134" s="3"/>
    </row>
    <row r="135" spans="1:53" x14ac:dyDescent="0.2">
      <c r="A135" s="597"/>
      <c r="B135" s="597"/>
      <c r="C135" s="597"/>
      <c r="D135" s="597"/>
      <c r="E135" s="597"/>
      <c r="F135" s="597"/>
      <c r="G135" s="597"/>
      <c r="H135" s="617"/>
      <c r="I135" s="617"/>
      <c r="J135" s="617"/>
      <c r="K135" s="617"/>
      <c r="L135" s="617"/>
      <c r="M135" s="617"/>
      <c r="N135" s="617"/>
      <c r="O135" s="617"/>
      <c r="P135" s="617"/>
      <c r="Q135" s="617"/>
      <c r="R135" s="617"/>
      <c r="S135" s="617"/>
      <c r="T135" s="617"/>
      <c r="U135" s="617"/>
      <c r="V135" s="617"/>
      <c r="W135" s="617"/>
      <c r="X135" s="617"/>
      <c r="Y135" s="617"/>
      <c r="Z135" s="617"/>
      <c r="AA135" s="617"/>
      <c r="AB135" s="617"/>
      <c r="AC135" s="617"/>
      <c r="AD135" s="617"/>
      <c r="AE135" s="617"/>
      <c r="AF135" s="617"/>
      <c r="AG135" s="617"/>
      <c r="AH135" s="617"/>
      <c r="AI135" s="617"/>
      <c r="AJ135" s="617"/>
      <c r="AK135" s="617"/>
      <c r="AL135" s="617"/>
      <c r="AM135" s="617"/>
      <c r="AN135" s="617"/>
      <c r="AO135" s="617"/>
      <c r="AP135" s="617"/>
      <c r="AQ135" s="617"/>
      <c r="AR135" s="617"/>
      <c r="AS135" s="617"/>
      <c r="AT135" s="617"/>
      <c r="AU135" s="617"/>
      <c r="AV135" s="617"/>
      <c r="AW135" s="617"/>
      <c r="AX135" s="617"/>
      <c r="AY135" s="617"/>
      <c r="AZ135" s="617"/>
      <c r="BA135" s="3"/>
    </row>
    <row r="136" spans="1:53" x14ac:dyDescent="0.2">
      <c r="A136" s="597"/>
      <c r="B136" s="597"/>
      <c r="C136" s="597"/>
      <c r="D136" s="597"/>
      <c r="E136" s="597"/>
      <c r="F136" s="597"/>
      <c r="G136" s="597"/>
      <c r="H136" s="617"/>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7"/>
      <c r="AE136" s="617"/>
      <c r="AF136" s="617"/>
      <c r="AG136" s="617"/>
      <c r="AH136" s="617"/>
      <c r="AI136" s="617"/>
      <c r="AJ136" s="617"/>
      <c r="AK136" s="617"/>
      <c r="AL136" s="617"/>
      <c r="AM136" s="617"/>
      <c r="AN136" s="617"/>
      <c r="AO136" s="617"/>
      <c r="AP136" s="617"/>
      <c r="AQ136" s="617"/>
      <c r="AR136" s="617"/>
      <c r="AS136" s="617"/>
      <c r="AT136" s="617"/>
      <c r="AU136" s="617"/>
      <c r="AV136" s="617"/>
      <c r="AW136" s="617"/>
      <c r="AX136" s="617"/>
      <c r="AY136" s="617"/>
      <c r="AZ136" s="617"/>
      <c r="BA136" s="3"/>
    </row>
    <row r="137" spans="1:53" x14ac:dyDescent="0.2">
      <c r="A137" s="597"/>
      <c r="B137" s="597"/>
      <c r="C137" s="597"/>
      <c r="D137" s="597"/>
      <c r="E137" s="597"/>
      <c r="F137" s="597"/>
      <c r="G137" s="59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7"/>
      <c r="AD137" s="617"/>
      <c r="AE137" s="617"/>
      <c r="AF137" s="617"/>
      <c r="AG137" s="617"/>
      <c r="AH137" s="617"/>
      <c r="AI137" s="617"/>
      <c r="AJ137" s="617"/>
      <c r="AK137" s="617"/>
      <c r="AL137" s="617"/>
      <c r="AM137" s="617"/>
      <c r="AN137" s="617"/>
      <c r="AO137" s="617"/>
      <c r="AP137" s="617"/>
      <c r="AQ137" s="617"/>
      <c r="AR137" s="617"/>
      <c r="AS137" s="617"/>
      <c r="AT137" s="617"/>
      <c r="AU137" s="617"/>
      <c r="AV137" s="617"/>
      <c r="AW137" s="617"/>
      <c r="AX137" s="617"/>
      <c r="AY137" s="617"/>
      <c r="AZ137" s="617"/>
      <c r="BA137" s="3"/>
    </row>
    <row r="138" spans="1:53" x14ac:dyDescent="0.2">
      <c r="A138" s="597"/>
      <c r="B138" s="597"/>
      <c r="C138" s="597"/>
      <c r="D138" s="597"/>
      <c r="E138" s="597"/>
      <c r="F138" s="597"/>
      <c r="G138" s="597"/>
      <c r="H138" s="617"/>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7"/>
      <c r="AE138" s="617"/>
      <c r="AF138" s="617"/>
      <c r="AG138" s="617"/>
      <c r="AH138" s="617"/>
      <c r="AI138" s="617"/>
      <c r="AJ138" s="617"/>
      <c r="AK138" s="617"/>
      <c r="AL138" s="617"/>
      <c r="AM138" s="617"/>
      <c r="AN138" s="617"/>
      <c r="AO138" s="617"/>
      <c r="AP138" s="617"/>
      <c r="AQ138" s="617"/>
      <c r="AR138" s="617"/>
      <c r="AS138" s="617"/>
      <c r="AT138" s="617"/>
      <c r="AU138" s="617"/>
      <c r="AV138" s="617"/>
      <c r="AW138" s="617"/>
      <c r="AX138" s="617"/>
      <c r="AY138" s="617"/>
      <c r="AZ138" s="617"/>
      <c r="BA138" s="3"/>
    </row>
    <row r="139" spans="1:53" x14ac:dyDescent="0.2">
      <c r="A139" s="597"/>
      <c r="B139" s="597"/>
      <c r="C139" s="597"/>
      <c r="D139" s="597"/>
      <c r="E139" s="597"/>
      <c r="F139" s="597"/>
      <c r="G139" s="597"/>
      <c r="H139" s="617"/>
      <c r="I139" s="617"/>
      <c r="J139" s="617"/>
      <c r="K139" s="617"/>
      <c r="L139" s="617"/>
      <c r="M139" s="617"/>
      <c r="N139" s="617"/>
      <c r="O139" s="617"/>
      <c r="P139" s="617"/>
      <c r="Q139" s="617"/>
      <c r="R139" s="617"/>
      <c r="S139" s="617"/>
      <c r="T139" s="617"/>
      <c r="U139" s="617"/>
      <c r="V139" s="617"/>
      <c r="W139" s="617"/>
      <c r="X139" s="617"/>
      <c r="Y139" s="617"/>
      <c r="Z139" s="617"/>
      <c r="AA139" s="617"/>
      <c r="AB139" s="617"/>
      <c r="AC139" s="617"/>
      <c r="AD139" s="617"/>
      <c r="AE139" s="617"/>
      <c r="AF139" s="617"/>
      <c r="AG139" s="617"/>
      <c r="AH139" s="617"/>
      <c r="AI139" s="617"/>
      <c r="AJ139" s="617"/>
      <c r="AK139" s="617"/>
      <c r="AL139" s="617"/>
      <c r="AM139" s="617"/>
      <c r="AN139" s="617"/>
      <c r="AO139" s="617"/>
      <c r="AP139" s="617"/>
      <c r="AQ139" s="617"/>
      <c r="AR139" s="617"/>
      <c r="AS139" s="617"/>
      <c r="AT139" s="617"/>
      <c r="AU139" s="617"/>
      <c r="AV139" s="617"/>
      <c r="AW139" s="617"/>
      <c r="AX139" s="617"/>
      <c r="AY139" s="617"/>
      <c r="AZ139" s="617"/>
      <c r="BA139" s="3"/>
    </row>
    <row r="140" spans="1:53" x14ac:dyDescent="0.2">
      <c r="A140" s="597"/>
      <c r="B140" s="597"/>
      <c r="C140" s="597"/>
      <c r="D140" s="597"/>
      <c r="E140" s="597"/>
      <c r="F140" s="597"/>
      <c r="G140" s="597"/>
      <c r="H140" s="617"/>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7"/>
      <c r="AE140" s="617"/>
      <c r="AF140" s="617"/>
      <c r="AG140" s="617"/>
      <c r="AH140" s="617"/>
      <c r="AI140" s="617"/>
      <c r="AJ140" s="617"/>
      <c r="AK140" s="617"/>
      <c r="AL140" s="617"/>
      <c r="AM140" s="617"/>
      <c r="AN140" s="617"/>
      <c r="AO140" s="617"/>
      <c r="AP140" s="617"/>
      <c r="AQ140" s="617"/>
      <c r="AR140" s="617"/>
      <c r="AS140" s="617"/>
      <c r="AT140" s="617"/>
      <c r="AU140" s="617"/>
      <c r="AV140" s="617"/>
      <c r="AW140" s="617"/>
      <c r="AX140" s="617"/>
      <c r="AY140" s="617"/>
      <c r="AZ140" s="617"/>
      <c r="BA140" s="3"/>
    </row>
    <row r="141" spans="1:53" x14ac:dyDescent="0.2">
      <c r="A141" s="597"/>
      <c r="B141" s="597"/>
      <c r="C141" s="597"/>
      <c r="D141" s="597"/>
      <c r="E141" s="597"/>
      <c r="F141" s="597"/>
      <c r="G141" s="597"/>
      <c r="H141" s="617"/>
      <c r="I141" s="617"/>
      <c r="J141" s="617"/>
      <c r="K141" s="617"/>
      <c r="L141" s="617"/>
      <c r="M141" s="617"/>
      <c r="N141" s="617"/>
      <c r="O141" s="617"/>
      <c r="P141" s="617"/>
      <c r="Q141" s="617"/>
      <c r="R141" s="617"/>
      <c r="S141" s="617"/>
      <c r="T141" s="617"/>
      <c r="U141" s="617"/>
      <c r="V141" s="617"/>
      <c r="W141" s="617"/>
      <c r="X141" s="617"/>
      <c r="Y141" s="617"/>
      <c r="Z141" s="617"/>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3"/>
    </row>
    <row r="142" spans="1:53" x14ac:dyDescent="0.2">
      <c r="A142" s="597"/>
      <c r="B142" s="597"/>
      <c r="C142" s="597"/>
      <c r="D142" s="597"/>
      <c r="E142" s="597"/>
      <c r="F142" s="597"/>
      <c r="G142" s="597"/>
      <c r="H142" s="617"/>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3"/>
    </row>
    <row r="143" spans="1:53" x14ac:dyDescent="0.2">
      <c r="A143" s="597"/>
      <c r="B143" s="597"/>
      <c r="C143" s="597"/>
      <c r="D143" s="597"/>
      <c r="E143" s="597"/>
      <c r="F143" s="597"/>
      <c r="G143" s="59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3"/>
    </row>
    <row r="144" spans="1:53" x14ac:dyDescent="0.2">
      <c r="A144" s="597"/>
      <c r="B144" s="597"/>
      <c r="C144" s="597"/>
      <c r="D144" s="597"/>
      <c r="E144" s="597"/>
      <c r="F144" s="597"/>
      <c r="G144" s="597"/>
      <c r="H144" s="617"/>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3"/>
    </row>
    <row r="145" spans="1:53" x14ac:dyDescent="0.2">
      <c r="A145" s="597"/>
      <c r="B145" s="597"/>
      <c r="C145" s="597"/>
      <c r="D145" s="597"/>
      <c r="E145" s="597"/>
      <c r="F145" s="597"/>
      <c r="G145" s="59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3"/>
    </row>
    <row r="146" spans="1:53" x14ac:dyDescent="0.2">
      <c r="A146" s="597"/>
      <c r="B146" s="597"/>
      <c r="C146" s="597"/>
      <c r="D146" s="597"/>
      <c r="E146" s="597"/>
      <c r="F146" s="597"/>
      <c r="G146" s="597"/>
      <c r="H146" s="617"/>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3"/>
    </row>
    <row r="147" spans="1:53" x14ac:dyDescent="0.2">
      <c r="A147" s="597"/>
      <c r="B147" s="597"/>
      <c r="C147" s="597"/>
      <c r="D147" s="597"/>
      <c r="E147" s="597"/>
      <c r="F147" s="597"/>
      <c r="G147" s="59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3"/>
    </row>
    <row r="148" spans="1:53" x14ac:dyDescent="0.2">
      <c r="A148" s="597"/>
      <c r="B148" s="597"/>
      <c r="C148" s="597"/>
      <c r="D148" s="597"/>
      <c r="E148" s="597"/>
      <c r="F148" s="597"/>
      <c r="G148" s="597"/>
      <c r="H148" s="617"/>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3"/>
    </row>
    <row r="149" spans="1:53" x14ac:dyDescent="0.2">
      <c r="A149" s="597"/>
      <c r="B149" s="597"/>
      <c r="C149" s="597"/>
      <c r="D149" s="597"/>
      <c r="E149" s="597"/>
      <c r="F149" s="597"/>
      <c r="G149" s="597"/>
      <c r="H149" s="617"/>
      <c r="I149" s="617"/>
      <c r="J149" s="617"/>
      <c r="K149" s="617"/>
      <c r="L149" s="617"/>
      <c r="M149" s="617"/>
      <c r="N149" s="617"/>
      <c r="O149" s="617"/>
      <c r="P149" s="617"/>
      <c r="Q149" s="617"/>
      <c r="R149" s="617"/>
      <c r="S149" s="617"/>
      <c r="T149" s="617"/>
      <c r="U149" s="617"/>
      <c r="V149" s="617"/>
      <c r="W149" s="617"/>
      <c r="X149" s="617"/>
      <c r="Y149" s="617"/>
      <c r="Z149" s="617"/>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3"/>
    </row>
    <row r="150" spans="1:53" x14ac:dyDescent="0.2">
      <c r="A150" s="597"/>
      <c r="B150" s="597"/>
      <c r="C150" s="597"/>
      <c r="D150" s="597"/>
      <c r="E150" s="597"/>
      <c r="F150" s="597"/>
      <c r="G150" s="597"/>
      <c r="H150" s="617"/>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algorithmName="SHA-512" hashValue="m7YT4Wy78dcMnNSJin8T4wgzioc0agKscz95M6K5bgWgCBGRNh9uHthcnX/svamTMX/dPhIIgkXjH3yZEKc2yg==" saltValue="W5LGwI1cgKWISxDs0hNGFQ==" spinCount="100000"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84</vt:i4>
      </vt:variant>
    </vt:vector>
  </HeadingPairs>
  <TitlesOfParts>
    <vt:vector size="101" baseType="lpstr">
      <vt:lpstr>User-INFO</vt:lpstr>
      <vt:lpstr>Stammblatt</vt:lpstr>
      <vt:lpstr>Zusammenfassung</vt:lpstr>
      <vt:lpstr>Finanzierungsplan</vt:lpstr>
      <vt:lpstr>Kalkulation Herstellungskosten</vt:lpstr>
      <vt:lpstr>ILV</vt:lpstr>
      <vt:lpstr>GREEN FILMING Mehrkosten</vt:lpstr>
      <vt:lpstr>Stab_Ö_Lohnnebenkosten</vt:lpstr>
      <vt:lpstr>BERECHNUNGSSÄTZE</vt:lpstr>
      <vt:lpstr>CONTROLLING-DATA</vt:lpstr>
      <vt:lpstr>Darsteller</vt:lpstr>
      <vt:lpstr>Motivliste</vt:lpstr>
      <vt:lpstr>Stab_Cast_Ö_Reisekosten</vt:lpstr>
      <vt:lpstr>Zu 10 (Reise-, Transportkosten)</vt:lpstr>
      <vt:lpstr>Kollektivvertrag</vt:lpstr>
      <vt:lpstr>Richt- und Höchstsätze</vt:lpstr>
      <vt:lpstr>Tages- und Nächtigungsgelder</vt:lpstr>
      <vt:lpstr>Absperrhilfen</vt:lpstr>
      <vt:lpstr>Baumaterial</vt:lpstr>
      <vt:lpstr>Bond</vt:lpstr>
      <vt:lpstr>DB</vt:lpstr>
      <vt:lpstr>Diäten_Ausl</vt:lpstr>
      <vt:lpstr>Diäten_Ö</vt:lpstr>
      <vt:lpstr>Diäten_W</vt:lpstr>
      <vt:lpstr>Drehbuch_Richtsatz</vt:lpstr>
      <vt:lpstr>BERECHNUNGSSÄTZE!Druckbereich</vt:lpstr>
      <vt:lpstr>'CONTROLLING-DATA'!Druckbereich</vt:lpstr>
      <vt:lpstr>Darsteller!Druckbereich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Darsteller!Drucktitel</vt:lpstr>
      <vt:lpstr>'Kalkulation Herstellungskosten'!Drucktitel</vt:lpstr>
      <vt:lpstr>Stab_Cast_Ö_Reisekosten!Drucktitel</vt:lpstr>
      <vt:lpstr>Stab_Ö_Lohnnebenkosten!Drucktitel</vt:lpstr>
      <vt:lpstr>DZ</vt:lpstr>
      <vt:lpstr>FGK</vt:lpstr>
      <vt:lpstr>FIN</vt:lpstr>
      <vt:lpstr>FIN_A</vt:lpstr>
      <vt:lpstr>FIN_B</vt:lpstr>
      <vt:lpstr>FIN_C</vt:lpstr>
      <vt:lpstr>FIN_ges</vt:lpstr>
      <vt:lpstr>FinKosten</vt:lpstr>
      <vt:lpstr>GHSTK</vt:lpstr>
      <vt:lpstr>GHSTK_A</vt:lpstr>
      <vt:lpstr>GHSTK_B</vt:lpstr>
      <vt:lpstr>GHSTK_C</vt:lpstr>
      <vt:lpstr>GHSTK_ges</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Spielfahrzeuge</vt:lpstr>
      <vt:lpstr>SV_lfd</vt:lpstr>
      <vt:lpstr>SV_SZ</vt:lpstr>
      <vt:lpstr>SVGrund_lfd_mo</vt:lpstr>
      <vt:lpstr>SVGrund_lfd_tä</vt:lpstr>
      <vt:lpstr>SVGrund_lfd_wö</vt:lpstr>
      <vt:lpstr>SVGrund_SZ</vt:lpstr>
      <vt:lpstr>SVGrund_SZ_tä</vt:lpstr>
      <vt:lpstr>SVGrund_SZ_wö</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2023-01-20T12:11:44Z</cp:lastPrinted>
  <dcterms:created xsi:type="dcterms:W3CDTF">1997-11-17T10:58:23Z</dcterms:created>
  <dcterms:modified xsi:type="dcterms:W3CDTF">2023-01-20T12:12:47Z</dcterms:modified>
</cp:coreProperties>
</file>